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Cattle Breakeven Calculato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<sst xmlns="http://schemas.openxmlformats.org/spreadsheetml/2006/main" count="180" uniqueCount="127">
  <si>
    <t>Purchase Date</t>
  </si>
  <si>
    <t>Number Purchased</t>
  </si>
  <si>
    <t>head</t>
  </si>
  <si>
    <t>Estimated Purchase Weight</t>
  </si>
  <si>
    <t>lbs</t>
  </si>
  <si>
    <t>Estimated Purchase Price</t>
  </si>
  <si>
    <t>/cwt</t>
  </si>
  <si>
    <t>Estimated Sale Weight</t>
  </si>
  <si>
    <t>Estimated Sale Price</t>
  </si>
  <si>
    <t>Estimated Daily Gain</t>
  </si>
  <si>
    <t>/lbs/head/day</t>
  </si>
  <si>
    <t xml:space="preserve">Estimated Average Feed Ration </t>
  </si>
  <si>
    <t>Feed Costs</t>
  </si>
  <si>
    <t>Corn</t>
  </si>
  <si>
    <t>lbs / day (as fed)</t>
  </si>
  <si>
    <t>/ bushel</t>
  </si>
  <si>
    <t>Hay</t>
  </si>
  <si>
    <t>/ ton</t>
  </si>
  <si>
    <t>Silage</t>
  </si>
  <si>
    <t>Distillers Grain</t>
  </si>
  <si>
    <t>Supplement</t>
  </si>
  <si>
    <t xml:space="preserve">Total Feed Ration </t>
  </si>
  <si>
    <t>Other Costs</t>
  </si>
  <si>
    <t>Interest Rate</t>
  </si>
  <si>
    <t>Yardage Costs</t>
  </si>
  <si>
    <t>/ head/day</t>
  </si>
  <si>
    <t>Shrink (on finish weight)</t>
  </si>
  <si>
    <t>Hedging Costs</t>
  </si>
  <si>
    <t>/ head</t>
  </si>
  <si>
    <t>Death Loss</t>
  </si>
  <si>
    <t>Vet Costs</t>
  </si>
  <si>
    <t>/head</t>
  </si>
  <si>
    <t>Trucking Costs</t>
  </si>
  <si>
    <t>total / head</t>
  </si>
  <si>
    <t>Misc Costs</t>
  </si>
  <si>
    <t>Sales Commissions (1.5%)</t>
  </si>
  <si>
    <t>Projected Sale Date</t>
  </si>
  <si>
    <t>Projected Breakeven Sale Price</t>
  </si>
  <si>
    <t>Projected Breakeven Purchase Price</t>
  </si>
  <si>
    <t>CATTLE FEEDING/FINISHING COST ANALYSIS</t>
  </si>
  <si>
    <t>ESTIMATED PURCHASE INFORMATION:</t>
  </si>
  <si>
    <t>LBS         @</t>
  </si>
  <si>
    <t>/CWT  ON</t>
  </si>
  <si>
    <t>PURCHASE DATE</t>
  </si>
  <si>
    <t>ESTIMATED SELLING INFORMATION:</t>
  </si>
  <si>
    <t>SELLING DATE</t>
  </si>
  <si>
    <t>ESTIMATED DAYS ON FEED</t>
  </si>
  <si>
    <t>DAYS</t>
  </si>
  <si>
    <t>ESTIMATED  TOTAL GAIN</t>
  </si>
  <si>
    <t>LBS</t>
  </si>
  <si>
    <t>AVERAGE DAILY GAIN</t>
  </si>
  <si>
    <t>ESTIMATED FEED CONVERSION (as fed)</t>
  </si>
  <si>
    <t xml:space="preserve">:1 BASED ON </t>
  </si>
  <si>
    <t>LBS/DAY (AS FED)</t>
  </si>
  <si>
    <t>PURCHASE COST OF CALF</t>
  </si>
  <si>
    <t>PER LBS</t>
  </si>
  <si>
    <t>Distillers</t>
  </si>
  <si>
    <t>TOTAL FEED COST</t>
  </si>
  <si>
    <t xml:space="preserve">PER  CWT OF GAIN  </t>
  </si>
  <si>
    <t xml:space="preserve"> </t>
  </si>
  <si>
    <t>OTHER COSTS:</t>
  </si>
  <si>
    <t>PRINCIPAL  $</t>
  </si>
  <si>
    <t xml:space="preserve">x INTEREST RATE </t>
  </si>
  <si>
    <t>EQUIPMENT USAGE/YARDAGE</t>
  </si>
  <si>
    <t>/DAY</t>
  </si>
  <si>
    <t>VET  COSTS @</t>
  </si>
  <si>
    <t>/ Hd</t>
  </si>
  <si>
    <t>MISC. COST @</t>
  </si>
  <si>
    <t xml:space="preserve">HEDGING COSTS @             </t>
  </si>
  <si>
    <t>SELLING COSTS @</t>
  </si>
  <si>
    <t>TRUCKING  (BOTH WAYS)  per Head @</t>
  </si>
  <si>
    <t xml:space="preserve">TOTAL  OTHER  COSTS </t>
  </si>
  <si>
    <t>GROSS COST</t>
  </si>
  <si>
    <t>Total Cost of Gain</t>
  </si>
  <si>
    <t>per CWT</t>
  </si>
  <si>
    <t>Net Profit or Loss/Head</t>
  </si>
  <si>
    <t>EST SELLING PRICE:</t>
  </si>
  <si>
    <t xml:space="preserve">less $3/cwt </t>
  </si>
  <si>
    <t>lbs       @</t>
  </si>
  <si>
    <t>Low Estimate</t>
  </si>
  <si>
    <t>EST SELLING WEIGHT</t>
  </si>
  <si>
    <t>plus $3/cwt</t>
  </si>
  <si>
    <t>High Estimate</t>
  </si>
  <si>
    <t>BREAKEVEN PURCHASE PRICE</t>
  </si>
  <si>
    <t>BREAKEVEN SELLING PRICE</t>
  </si>
  <si>
    <t>NUMBER OF HEAD PLACED ON FEED</t>
  </si>
  <si>
    <t>TOTAL PROJECTED INCOME</t>
  </si>
  <si>
    <t>SALE INFORMATION</t>
  </si>
  <si>
    <t>HEAD</t>
  </si>
  <si>
    <t>WEIGHING</t>
  </si>
  <si>
    <t xml:space="preserve">SELLING AT </t>
  </si>
  <si>
    <t>/CWT</t>
  </si>
  <si>
    <t>TOTAL PROJECTED EXPENSES</t>
  </si>
  <si>
    <t>PURCHASE INFORMATION</t>
  </si>
  <si>
    <t xml:space="preserve">COSTING </t>
  </si>
  <si>
    <t>FEED USAGE</t>
  </si>
  <si>
    <t xml:space="preserve">Quantity </t>
  </si>
  <si>
    <t>Value</t>
  </si>
  <si>
    <t>TOTAL CORN FED</t>
  </si>
  <si>
    <t>BU.</t>
  </si>
  <si>
    <t>TOTAL HAY FED</t>
  </si>
  <si>
    <t>TON</t>
  </si>
  <si>
    <t>TOTAL SILAGE FED</t>
  </si>
  <si>
    <t>TOTAL DISTILLERS GRAIN FED</t>
  </si>
  <si>
    <t>TOTAL SUPPLEMENT FED</t>
  </si>
  <si>
    <t>TOTAL FEED COSTS</t>
  </si>
  <si>
    <t>TOTAL INTEREST EXPENSE</t>
  </si>
  <si>
    <t>TOTAL YARDAGE EXPENSE</t>
  </si>
  <si>
    <t>TOTAL VETRINARY EXPENSE</t>
  </si>
  <si>
    <t>TOTAL HEDGING EXPENSES</t>
  </si>
  <si>
    <t>TOTAL TRUCKING EXPENSES</t>
  </si>
  <si>
    <t>TOTAL COMMISSION/SELLING EXPENSE</t>
  </si>
  <si>
    <t>TOTAL MISC/OTHER EXPENSES</t>
  </si>
  <si>
    <t>TOTAL EXPENSES</t>
  </si>
  <si>
    <t>NET PROFIT (LOSS)</t>
  </si>
  <si>
    <t>DAYS      @</t>
  </si>
  <si>
    <t xml:space="preserve">LBS/DAY      for </t>
  </si>
  <si>
    <r>
      <t xml:space="preserve">INTEREST: </t>
    </r>
    <r>
      <rPr>
        <sz val="7"/>
        <color indexed="8"/>
        <rFont val="Arial"/>
        <family val="2"/>
      </rPr>
      <t>(on total purchase cost)</t>
    </r>
  </si>
  <si>
    <t>@          $</t>
  </si>
  <si>
    <t>DEATH LOSS @</t>
  </si>
  <si>
    <t>CATTLE FEEDING / FINISHING COST ANALYSIS</t>
  </si>
  <si>
    <t>CATTLE FEEDING INPUT COSTS</t>
  </si>
  <si>
    <t>CATTLE FEEDING / FINISHING  TOTAL COST AND FEED USAGE SUMMARY</t>
  </si>
  <si>
    <r>
      <t>**</t>
    </r>
    <r>
      <rPr>
        <sz val="7"/>
        <color indexed="8"/>
        <rFont val="Arial"/>
        <family val="2"/>
      </rPr>
      <t xml:space="preserve">Calculations are for example only.  It is your responsibility to evaluate the usefulness of this information. This information is only meant to be a forecasting tool and is not a prediction for future profitability. </t>
    </r>
  </si>
  <si>
    <t xml:space="preserve">  First Dakota National Bank does not guaranty the information obtained and/or derived from these calculations, but does beilieve them to be useful as a quick and easy reference. </t>
  </si>
  <si>
    <t>FirstDakotaAg.com     800.657.5826</t>
  </si>
  <si>
    <t xml:space="preserve">Enter your costs and feed ration information in the shaded boxes below.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</si>
</sst>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0.0%"/>
    <numFmt numFmtId="167" formatCode="#,##0.0_);\(#,##0.0\)"/>
    <numFmt numFmtId="168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1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10"/>
      <color indexed="18"/>
      <name val="Calibri"/>
      <family val="2"/>
    </font>
    <font>
      <sz val="9"/>
      <color indexed="8"/>
      <name val="Calibri"/>
      <family val="2"/>
    </font>
    <font>
      <sz val="11"/>
      <color indexed="8"/>
      <name val="Cambria"/>
      <family val="1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b/>
      <sz val="11"/>
      <color indexed="18"/>
      <name val="Arial"/>
      <family val="2"/>
    </font>
    <font>
      <sz val="14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6"/>
      <color theme="3" tint="-0.24997000396251678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3" tint="-0.24997000396251678"/>
      <name val="Calibri"/>
      <family val="2"/>
    </font>
    <font>
      <sz val="9"/>
      <color theme="1"/>
      <name val="Calibri"/>
      <family val="2"/>
    </font>
    <font>
      <sz val="11"/>
      <color theme="1"/>
      <name val="Cambria"/>
      <family val="1"/>
    </font>
    <font>
      <u val="single"/>
      <sz val="14"/>
      <color theme="10"/>
      <name val="Arial"/>
      <family val="2"/>
    </font>
    <font>
      <u val="single"/>
      <sz val="16"/>
      <color theme="10"/>
      <name val="Arial"/>
      <family val="2"/>
    </font>
    <font>
      <b/>
      <sz val="11"/>
      <color theme="3" tint="-0.24997000396251678"/>
      <name val="Arial"/>
      <family val="2"/>
    </font>
    <font>
      <sz val="14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7" fillId="2" borderId="0" xfId="0" applyFont="1" applyFill="1" applyAlignment="1" applyProtection="1">
      <alignment horizontal="center"/>
      <protection/>
    </xf>
    <xf numFmtId="0" fontId="68" fillId="2" borderId="0" xfId="0" applyFont="1" applyFill="1" applyAlignment="1" applyProtection="1">
      <alignment/>
      <protection/>
    </xf>
    <xf numFmtId="14" fontId="69" fillId="33" borderId="0" xfId="44" applyNumberFormat="1" applyFont="1" applyFill="1" applyAlignment="1" applyProtection="1">
      <alignment/>
      <protection locked="0"/>
    </xf>
    <xf numFmtId="37" fontId="69" fillId="33" borderId="0" xfId="44" applyNumberFormat="1" applyFont="1" applyFill="1" applyAlignment="1" applyProtection="1">
      <alignment/>
      <protection locked="0"/>
    </xf>
    <xf numFmtId="0" fontId="69" fillId="2" borderId="0" xfId="0" applyFont="1" applyFill="1" applyAlignment="1" applyProtection="1">
      <alignment/>
      <protection/>
    </xf>
    <xf numFmtId="44" fontId="69" fillId="33" borderId="0" xfId="44" applyNumberFormat="1" applyFont="1" applyFill="1" applyAlignment="1" applyProtection="1">
      <alignment/>
      <protection locked="0"/>
    </xf>
    <xf numFmtId="0" fontId="68" fillId="2" borderId="0" xfId="0" applyFont="1" applyFill="1" applyAlignment="1" applyProtection="1" quotePrefix="1">
      <alignment/>
      <protection/>
    </xf>
    <xf numFmtId="0" fontId="69" fillId="33" borderId="0" xfId="0" applyFont="1" applyFill="1" applyAlignment="1" applyProtection="1">
      <alignment/>
      <protection locked="0"/>
    </xf>
    <xf numFmtId="0" fontId="70" fillId="2" borderId="0" xfId="0" applyFont="1" applyFill="1" applyAlignment="1" applyProtection="1">
      <alignment/>
      <protection/>
    </xf>
    <xf numFmtId="0" fontId="71" fillId="2" borderId="0" xfId="0" applyFont="1" applyFill="1" applyAlignment="1" applyProtection="1">
      <alignment/>
      <protection/>
    </xf>
    <xf numFmtId="0" fontId="71" fillId="2" borderId="0" xfId="0" applyFont="1" applyFill="1" applyAlignment="1" applyProtection="1">
      <alignment/>
      <protection/>
    </xf>
    <xf numFmtId="10" fontId="69" fillId="33" borderId="0" xfId="0" applyNumberFormat="1" applyFont="1" applyFill="1" applyAlignment="1" applyProtection="1">
      <alignment/>
      <protection locked="0"/>
    </xf>
    <xf numFmtId="44" fontId="69" fillId="33" borderId="0" xfId="44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2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1" fillId="34" borderId="0" xfId="0" applyFont="1" applyFill="1" applyAlignment="1" applyProtection="1">
      <alignment horizontal="center"/>
      <protection/>
    </xf>
    <xf numFmtId="0" fontId="68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 horizontal="left"/>
      <protection/>
    </xf>
    <xf numFmtId="0" fontId="68" fillId="34" borderId="0" xfId="0" applyFont="1" applyFill="1" applyAlignment="1" applyProtection="1" quotePrefix="1">
      <alignment/>
      <protection/>
    </xf>
    <xf numFmtId="0" fontId="72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44" fontId="68" fillId="2" borderId="0" xfId="44" applyFont="1" applyFill="1" applyBorder="1" applyAlignment="1" applyProtection="1">
      <alignment/>
      <protection/>
    </xf>
    <xf numFmtId="0" fontId="73" fillId="34" borderId="0" xfId="0" applyFont="1" applyFill="1" applyAlignment="1" applyProtection="1">
      <alignment/>
      <protection/>
    </xf>
    <xf numFmtId="44" fontId="68" fillId="34" borderId="0" xfId="44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 horizontal="center"/>
      <protection/>
    </xf>
    <xf numFmtId="44" fontId="68" fillId="34" borderId="0" xfId="0" applyNumberFormat="1" applyFont="1" applyFill="1" applyBorder="1" applyAlignment="1" applyProtection="1">
      <alignment/>
      <protection/>
    </xf>
    <xf numFmtId="0" fontId="74" fillId="34" borderId="0" xfId="0" applyFont="1" applyFill="1" applyAlignment="1" applyProtection="1">
      <alignment/>
      <protection/>
    </xf>
    <xf numFmtId="0" fontId="74" fillId="34" borderId="0" xfId="0" applyFont="1" applyFill="1" applyBorder="1" applyAlignment="1" applyProtection="1">
      <alignment/>
      <protection/>
    </xf>
    <xf numFmtId="37" fontId="3" fillId="2" borderId="10" xfId="0" applyNumberFormat="1" applyFont="1" applyFill="1" applyBorder="1" applyAlignment="1" applyProtection="1">
      <alignment/>
      <protection/>
    </xf>
    <xf numFmtId="44" fontId="3" fillId="2" borderId="10" xfId="44" applyFont="1" applyFill="1" applyBorder="1" applyAlignment="1" applyProtection="1">
      <alignment/>
      <protection/>
    </xf>
    <xf numFmtId="14" fontId="3" fillId="2" borderId="10" xfId="0" applyNumberFormat="1" applyFont="1" applyFill="1" applyBorder="1" applyAlignment="1" applyProtection="1">
      <alignment/>
      <protection/>
    </xf>
    <xf numFmtId="1" fontId="3" fillId="2" borderId="10" xfId="0" applyNumberFormat="1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2" fontId="3" fillId="2" borderId="10" xfId="0" applyNumberFormat="1" applyFont="1" applyFill="1" applyBorder="1" applyAlignment="1" applyProtection="1">
      <alignment/>
      <protection/>
    </xf>
    <xf numFmtId="1" fontId="3" fillId="2" borderId="10" xfId="0" applyNumberFormat="1" applyFont="1" applyFill="1" applyBorder="1" applyAlignment="1" applyProtection="1">
      <alignment horizontal="right"/>
      <protection/>
    </xf>
    <xf numFmtId="37" fontId="75" fillId="2" borderId="10" xfId="0" applyNumberFormat="1" applyFont="1" applyFill="1" applyBorder="1" applyAlignment="1" applyProtection="1">
      <alignment/>
      <protection/>
    </xf>
    <xf numFmtId="44" fontId="75" fillId="2" borderId="10" xfId="0" applyNumberFormat="1" applyFont="1" applyFill="1" applyBorder="1" applyAlignment="1" applyProtection="1">
      <alignment/>
      <protection/>
    </xf>
    <xf numFmtId="0" fontId="75" fillId="2" borderId="10" xfId="0" applyFont="1" applyFill="1" applyBorder="1" applyAlignment="1" applyProtection="1">
      <alignment/>
      <protection/>
    </xf>
    <xf numFmtId="0" fontId="75" fillId="2" borderId="0" xfId="0" applyFont="1" applyFill="1" applyAlignment="1" applyProtection="1">
      <alignment/>
      <protection/>
    </xf>
    <xf numFmtId="1" fontId="75" fillId="2" borderId="10" xfId="0" applyNumberFormat="1" applyFont="1" applyFill="1" applyBorder="1" applyAlignment="1" applyProtection="1">
      <alignment/>
      <protection/>
    </xf>
    <xf numFmtId="165" fontId="6" fillId="2" borderId="10" xfId="44" applyNumberFormat="1" applyFont="1" applyFill="1" applyBorder="1" applyAlignment="1" applyProtection="1">
      <alignment/>
      <protection/>
    </xf>
    <xf numFmtId="44" fontId="75" fillId="2" borderId="10" xfId="44" applyFont="1" applyFill="1" applyBorder="1" applyAlignment="1" applyProtection="1">
      <alignment/>
      <protection/>
    </xf>
    <xf numFmtId="44" fontId="75" fillId="2" borderId="0" xfId="44" applyFont="1" applyFill="1" applyBorder="1" applyAlignment="1" applyProtection="1">
      <alignment/>
      <protection/>
    </xf>
    <xf numFmtId="43" fontId="75" fillId="2" borderId="10" xfId="42" applyFont="1" applyFill="1" applyBorder="1" applyAlignment="1" applyProtection="1">
      <alignment/>
      <protection/>
    </xf>
    <xf numFmtId="10" fontId="75" fillId="2" borderId="10" xfId="58" applyNumberFormat="1" applyFont="1" applyFill="1" applyBorder="1" applyAlignment="1" applyProtection="1">
      <alignment/>
      <protection/>
    </xf>
    <xf numFmtId="2" fontId="75" fillId="2" borderId="10" xfId="0" applyNumberFormat="1" applyFont="1" applyFill="1" applyBorder="1" applyAlignment="1" applyProtection="1">
      <alignment/>
      <protection/>
    </xf>
    <xf numFmtId="166" fontId="75" fillId="2" borderId="10" xfId="58" applyNumberFormat="1" applyFont="1" applyFill="1" applyBorder="1" applyAlignment="1" applyProtection="1">
      <alignment/>
      <protection/>
    </xf>
    <xf numFmtId="44" fontId="75" fillId="2" borderId="10" xfId="44" applyNumberFormat="1" applyFont="1" applyFill="1" applyBorder="1" applyAlignment="1" applyProtection="1">
      <alignment/>
      <protection/>
    </xf>
    <xf numFmtId="0" fontId="75" fillId="34" borderId="0" xfId="0" applyFont="1" applyFill="1" applyAlignment="1" applyProtection="1">
      <alignment/>
      <protection/>
    </xf>
    <xf numFmtId="0" fontId="73" fillId="34" borderId="0" xfId="0" applyFont="1" applyFill="1" applyBorder="1" applyAlignment="1" applyProtection="1">
      <alignment/>
      <protection/>
    </xf>
    <xf numFmtId="44" fontId="75" fillId="34" borderId="0" xfId="44" applyFont="1" applyFill="1" applyBorder="1" applyAlignment="1" applyProtection="1">
      <alignment/>
      <protection/>
    </xf>
    <xf numFmtId="164" fontId="75" fillId="34" borderId="0" xfId="44" applyNumberFormat="1" applyFont="1" applyFill="1" applyBorder="1" applyAlignment="1" applyProtection="1">
      <alignment/>
      <protection/>
    </xf>
    <xf numFmtId="0" fontId="75" fillId="34" borderId="0" xfId="0" applyFont="1" applyFill="1" applyBorder="1" applyAlignment="1" applyProtection="1">
      <alignment/>
      <protection/>
    </xf>
    <xf numFmtId="164" fontId="75" fillId="34" borderId="0" xfId="0" applyNumberFormat="1" applyFont="1" applyFill="1" applyBorder="1" applyAlignment="1" applyProtection="1">
      <alignment/>
      <protection/>
    </xf>
    <xf numFmtId="44" fontId="75" fillId="34" borderId="0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6" fillId="34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 quotePrefix="1">
      <alignment/>
      <protection/>
    </xf>
    <xf numFmtId="0" fontId="3" fillId="2" borderId="0" xfId="0" applyFont="1" applyFill="1" applyAlignment="1" applyProtection="1">
      <alignment/>
      <protection/>
    </xf>
    <xf numFmtId="20" fontId="75" fillId="2" borderId="0" xfId="0" applyNumberFormat="1" applyFont="1" applyFill="1" applyAlignment="1" applyProtection="1" quotePrefix="1">
      <alignment/>
      <protection/>
    </xf>
    <xf numFmtId="17" fontId="4" fillId="2" borderId="0" xfId="0" applyNumberFormat="1" applyFont="1" applyFill="1" applyBorder="1" applyAlignment="1" applyProtection="1">
      <alignment horizontal="center"/>
      <protection/>
    </xf>
    <xf numFmtId="44" fontId="5" fillId="2" borderId="10" xfId="44" applyNumberFormat="1" applyFont="1" applyFill="1" applyBorder="1" applyAlignment="1" applyProtection="1">
      <alignment horizontal="left"/>
      <protection/>
    </xf>
    <xf numFmtId="0" fontId="75" fillId="2" borderId="0" xfId="0" applyFont="1" applyFill="1" applyAlignment="1" applyProtection="1" quotePrefix="1">
      <alignment horizontal="left"/>
      <protection/>
    </xf>
    <xf numFmtId="44" fontId="5" fillId="2" borderId="0" xfId="44" applyFont="1" applyFill="1" applyBorder="1" applyAlignment="1" applyProtection="1">
      <alignment/>
      <protection/>
    </xf>
    <xf numFmtId="14" fontId="75" fillId="2" borderId="0" xfId="0" applyNumberFormat="1" applyFont="1" applyFill="1" applyBorder="1" applyAlignment="1" applyProtection="1">
      <alignment/>
      <protection/>
    </xf>
    <xf numFmtId="0" fontId="77" fillId="2" borderId="0" xfId="0" applyFont="1" applyFill="1" applyAlignment="1" applyProtection="1">
      <alignment/>
      <protection/>
    </xf>
    <xf numFmtId="0" fontId="75" fillId="2" borderId="0" xfId="0" applyFont="1" applyFill="1" applyAlignment="1" applyProtection="1" quotePrefix="1">
      <alignment/>
      <protection/>
    </xf>
    <xf numFmtId="0" fontId="7" fillId="2" borderId="0" xfId="0" applyFont="1" applyFill="1" applyAlignment="1" applyProtection="1">
      <alignment/>
      <protection/>
    </xf>
    <xf numFmtId="0" fontId="75" fillId="2" borderId="0" xfId="0" applyFont="1" applyFill="1" applyAlignment="1" applyProtection="1">
      <alignment horizontal="right"/>
      <protection/>
    </xf>
    <xf numFmtId="0" fontId="75" fillId="2" borderId="0" xfId="0" applyFont="1" applyFill="1" applyAlignment="1" applyProtection="1" quotePrefix="1">
      <alignment horizontal="center"/>
      <protection/>
    </xf>
    <xf numFmtId="0" fontId="75" fillId="2" borderId="0" xfId="0" applyFont="1" applyFill="1" applyBorder="1" applyAlignment="1" applyProtection="1">
      <alignment/>
      <protection/>
    </xf>
    <xf numFmtId="44" fontId="36" fillId="2" borderId="10" xfId="44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 quotePrefix="1">
      <alignment/>
      <protection/>
    </xf>
    <xf numFmtId="44" fontId="3" fillId="34" borderId="0" xfId="0" applyNumberFormat="1" applyFont="1" applyFill="1" applyBorder="1" applyAlignment="1" applyProtection="1" quotePrefix="1">
      <alignment/>
      <protection/>
    </xf>
    <xf numFmtId="0" fontId="75" fillId="34" borderId="0" xfId="0" applyNumberFormat="1" applyFont="1" applyFill="1" applyBorder="1" applyAlignment="1" applyProtection="1">
      <alignment/>
      <protection/>
    </xf>
    <xf numFmtId="37" fontId="75" fillId="2" borderId="0" xfId="0" applyNumberFormat="1" applyFont="1" applyFill="1" applyAlignment="1" applyProtection="1">
      <alignment/>
      <protection/>
    </xf>
    <xf numFmtId="44" fontId="3" fillId="2" borderId="0" xfId="44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 quotePrefix="1">
      <alignment/>
      <protection/>
    </xf>
    <xf numFmtId="37" fontId="3" fillId="2" borderId="0" xfId="0" applyNumberFormat="1" applyFont="1" applyFill="1" applyBorder="1" applyAlignment="1" applyProtection="1">
      <alignment/>
      <protection/>
    </xf>
    <xf numFmtId="167" fontId="75" fillId="2" borderId="0" xfId="0" applyNumberFormat="1" applyFont="1" applyFill="1" applyAlignment="1" applyProtection="1">
      <alignment/>
      <protection/>
    </xf>
    <xf numFmtId="44" fontId="75" fillId="2" borderId="0" xfId="0" applyNumberFormat="1" applyFont="1" applyFill="1" applyAlignment="1" applyProtection="1">
      <alignment/>
      <protection/>
    </xf>
    <xf numFmtId="44" fontId="3" fillId="2" borderId="0" xfId="44" applyFont="1" applyFill="1" applyBorder="1" applyAlignment="1" applyProtection="1" quotePrefix="1">
      <alignment/>
      <protection/>
    </xf>
    <xf numFmtId="44" fontId="3" fillId="2" borderId="0" xfId="0" applyNumberFormat="1" applyFont="1" applyFill="1" applyBorder="1" applyAlignment="1" applyProtection="1" quotePrefix="1">
      <alignment/>
      <protection/>
    </xf>
    <xf numFmtId="168" fontId="75" fillId="2" borderId="0" xfId="0" applyNumberFormat="1" applyFont="1" applyFill="1" applyAlignment="1" applyProtection="1">
      <alignment/>
      <protection/>
    </xf>
    <xf numFmtId="44" fontId="75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 horizontal="right"/>
      <protection/>
    </xf>
    <xf numFmtId="44" fontId="5" fillId="2" borderId="0" xfId="44" applyNumberFormat="1" applyFont="1" applyFill="1" applyBorder="1" applyAlignment="1" applyProtection="1">
      <alignment horizontal="left"/>
      <protection/>
    </xf>
    <xf numFmtId="0" fontId="75" fillId="2" borderId="0" xfId="0" applyFont="1" applyFill="1" applyBorder="1" applyAlignment="1" applyProtection="1" quotePrefix="1">
      <alignment horizontal="left"/>
      <protection/>
    </xf>
    <xf numFmtId="0" fontId="75" fillId="2" borderId="0" xfId="0" applyFont="1" applyFill="1" applyBorder="1" applyAlignment="1" applyProtection="1" quotePrefix="1">
      <alignment/>
      <protection/>
    </xf>
    <xf numFmtId="0" fontId="75" fillId="2" borderId="0" xfId="0" applyFont="1" applyFill="1" applyBorder="1" applyAlignment="1" applyProtection="1">
      <alignment horizontal="left"/>
      <protection/>
    </xf>
    <xf numFmtId="44" fontId="75" fillId="2" borderId="0" xfId="0" applyNumberFormat="1" applyFont="1" applyFill="1" applyBorder="1" applyAlignment="1" applyProtection="1">
      <alignment horizontal="center"/>
      <protection/>
    </xf>
    <xf numFmtId="1" fontId="75" fillId="2" borderId="0" xfId="0" applyNumberFormat="1" applyFont="1" applyFill="1" applyBorder="1" applyAlignment="1" applyProtection="1">
      <alignment/>
      <protection/>
    </xf>
    <xf numFmtId="0" fontId="75" fillId="2" borderId="0" xfId="0" applyFont="1" applyFill="1" applyBorder="1" applyAlignment="1" applyProtection="1">
      <alignment horizontal="center"/>
      <protection/>
    </xf>
    <xf numFmtId="44" fontId="78" fillId="2" borderId="0" xfId="44" applyFont="1" applyFill="1" applyBorder="1" applyAlignment="1" applyProtection="1">
      <alignment/>
      <protection/>
    </xf>
    <xf numFmtId="44" fontId="75" fillId="2" borderId="0" xfId="0" applyNumberFormat="1" applyFont="1" applyFill="1" applyBorder="1" applyAlignment="1" applyProtection="1">
      <alignment/>
      <protection/>
    </xf>
    <xf numFmtId="0" fontId="75" fillId="2" borderId="0" xfId="0" applyFont="1" applyFill="1" applyBorder="1" applyAlignment="1" applyProtection="1">
      <alignment horizontal="right"/>
      <protection/>
    </xf>
    <xf numFmtId="43" fontId="75" fillId="2" borderId="0" xfId="42" applyFont="1" applyFill="1" applyBorder="1" applyAlignment="1" applyProtection="1">
      <alignment/>
      <protection/>
    </xf>
    <xf numFmtId="0" fontId="75" fillId="2" borderId="0" xfId="0" applyFont="1" applyFill="1" applyBorder="1" applyAlignment="1" applyProtection="1" quotePrefix="1">
      <alignment horizontal="center"/>
      <protection/>
    </xf>
    <xf numFmtId="2" fontId="75" fillId="2" borderId="0" xfId="0" applyNumberFormat="1" applyFont="1" applyFill="1" applyBorder="1" applyAlignment="1" applyProtection="1">
      <alignment/>
      <protection/>
    </xf>
    <xf numFmtId="44" fontId="79" fillId="2" borderId="10" xfId="44" applyFont="1" applyFill="1" applyBorder="1" applyAlignment="1" applyProtection="1">
      <alignment/>
      <protection/>
    </xf>
    <xf numFmtId="0" fontId="79" fillId="2" borderId="0" xfId="0" applyFont="1" applyFill="1" applyAlignment="1" applyProtection="1">
      <alignment/>
      <protection/>
    </xf>
    <xf numFmtId="0" fontId="80" fillId="2" borderId="0" xfId="0" applyFont="1" applyFill="1" applyAlignment="1" applyProtection="1">
      <alignment/>
      <protection/>
    </xf>
    <xf numFmtId="0" fontId="79" fillId="2" borderId="10" xfId="0" applyFont="1" applyFill="1" applyBorder="1" applyAlignment="1" applyProtection="1">
      <alignment/>
      <protection/>
    </xf>
    <xf numFmtId="0" fontId="70" fillId="2" borderId="0" xfId="0" applyFont="1" applyFill="1" applyAlignment="1" applyProtection="1">
      <alignment/>
      <protection/>
    </xf>
    <xf numFmtId="0" fontId="70" fillId="2" borderId="0" xfId="0" applyFont="1" applyFill="1" applyAlignment="1" applyProtection="1">
      <alignment horizontal="right"/>
      <protection/>
    </xf>
    <xf numFmtId="14" fontId="70" fillId="2" borderId="0" xfId="0" applyNumberFormat="1" applyFont="1" applyFill="1" applyAlignment="1" applyProtection="1">
      <alignment/>
      <protection/>
    </xf>
    <xf numFmtId="44" fontId="70" fillId="2" borderId="0" xfId="0" applyNumberFormat="1" applyFont="1" applyFill="1" applyAlignment="1" applyProtection="1">
      <alignment/>
      <protection/>
    </xf>
    <xf numFmtId="0" fontId="70" fillId="2" borderId="0" xfId="0" applyFont="1" applyFill="1" applyAlignment="1" applyProtection="1" quotePrefix="1">
      <alignment/>
      <protection/>
    </xf>
    <xf numFmtId="0" fontId="79" fillId="2" borderId="0" xfId="0" applyFont="1" applyFill="1" applyBorder="1" applyAlignment="1" applyProtection="1">
      <alignment/>
      <protection/>
    </xf>
    <xf numFmtId="0" fontId="80" fillId="2" borderId="0" xfId="0" applyFont="1" applyFill="1" applyBorder="1" applyAlignment="1" applyProtection="1">
      <alignment horizontal="right"/>
      <protection/>
    </xf>
    <xf numFmtId="44" fontId="79" fillId="2" borderId="0" xfId="44" applyFont="1" applyFill="1" applyBorder="1" applyAlignment="1" applyProtection="1">
      <alignment/>
      <protection/>
    </xf>
    <xf numFmtId="0" fontId="8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5" fillId="2" borderId="0" xfId="0" applyFont="1" applyFill="1" applyAlignment="1" applyProtection="1">
      <alignment horizontal="left"/>
      <protection/>
    </xf>
    <xf numFmtId="0" fontId="80" fillId="2" borderId="0" xfId="0" applyFont="1" applyFill="1" applyAlignment="1" applyProtection="1">
      <alignment horizontal="right"/>
      <protection/>
    </xf>
    <xf numFmtId="44" fontId="81" fillId="33" borderId="0" xfId="44" applyFont="1" applyFill="1" applyBorder="1" applyAlignment="1" applyProtection="1">
      <alignment/>
      <protection/>
    </xf>
    <xf numFmtId="0" fontId="82" fillId="33" borderId="0" xfId="0" applyFont="1" applyFill="1" applyAlignment="1" applyProtection="1">
      <alignment/>
      <protection/>
    </xf>
    <xf numFmtId="0" fontId="82" fillId="33" borderId="0" xfId="0" applyFont="1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horizontal="right"/>
      <protection/>
    </xf>
    <xf numFmtId="44" fontId="82" fillId="33" borderId="0" xfId="44" applyFont="1" applyFill="1" applyBorder="1" applyAlignment="1" applyProtection="1">
      <alignment/>
      <protection/>
    </xf>
    <xf numFmtId="0" fontId="83" fillId="34" borderId="0" xfId="0" applyFont="1" applyFill="1" applyBorder="1" applyAlignment="1" applyProtection="1">
      <alignment/>
      <protection/>
    </xf>
    <xf numFmtId="0" fontId="84" fillId="34" borderId="0" xfId="0" applyFont="1" applyFill="1" applyAlignment="1" applyProtection="1">
      <alignment/>
      <protection/>
    </xf>
    <xf numFmtId="0" fontId="70" fillId="2" borderId="0" xfId="0" applyFont="1" applyFill="1" applyBorder="1" applyAlignment="1" applyProtection="1">
      <alignment/>
      <protection/>
    </xf>
    <xf numFmtId="44" fontId="70" fillId="2" borderId="0" xfId="44" applyFont="1" applyFill="1" applyBorder="1" applyAlignment="1" applyProtection="1">
      <alignment/>
      <protection/>
    </xf>
    <xf numFmtId="44" fontId="70" fillId="2" borderId="0" xfId="44" applyFont="1" applyFill="1" applyBorder="1" applyAlignment="1" applyProtection="1">
      <alignment horizontal="right"/>
      <protection/>
    </xf>
    <xf numFmtId="44" fontId="85" fillId="2" borderId="0" xfId="44" applyFont="1" applyFill="1" applyBorder="1" applyAlignment="1" applyProtection="1">
      <alignment/>
      <protection/>
    </xf>
    <xf numFmtId="0" fontId="8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8" fillId="2" borderId="0" xfId="0" applyFont="1" applyFill="1" applyBorder="1" applyAlignment="1" applyProtection="1">
      <alignment/>
      <protection/>
    </xf>
    <xf numFmtId="166" fontId="75" fillId="2" borderId="0" xfId="58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44" fontId="2" fillId="2" borderId="0" xfId="44" applyNumberFormat="1" applyFont="1" applyFill="1" applyAlignment="1" applyProtection="1">
      <alignment/>
      <protection/>
    </xf>
    <xf numFmtId="0" fontId="87" fillId="34" borderId="0" xfId="0" applyFont="1" applyFill="1" applyBorder="1" applyAlignment="1" applyProtection="1">
      <alignment/>
      <protection/>
    </xf>
    <xf numFmtId="0" fontId="75" fillId="34" borderId="0" xfId="0" applyFont="1" applyFill="1" applyBorder="1" applyAlignment="1" applyProtection="1">
      <alignment horizontal="left"/>
      <protection/>
    </xf>
    <xf numFmtId="0" fontId="87" fillId="34" borderId="0" xfId="0" applyFont="1" applyFill="1" applyAlignment="1" applyProtection="1">
      <alignment/>
      <protection/>
    </xf>
    <xf numFmtId="0" fontId="88" fillId="34" borderId="0" xfId="52" applyFont="1" applyFill="1" applyAlignment="1" applyProtection="1">
      <alignment/>
      <protection/>
    </xf>
    <xf numFmtId="0" fontId="89" fillId="0" borderId="0" xfId="52" applyFont="1" applyAlignment="1" applyProtection="1">
      <alignment horizontal="center"/>
      <protection/>
    </xf>
    <xf numFmtId="0" fontId="90" fillId="34" borderId="0" xfId="0" applyFont="1" applyFill="1" applyAlignment="1" applyProtection="1">
      <alignment horizontal="center"/>
      <protection/>
    </xf>
    <xf numFmtId="0" fontId="82" fillId="33" borderId="0" xfId="0" applyFont="1" applyFill="1" applyBorder="1" applyAlignment="1" applyProtection="1">
      <alignment horizontal="center"/>
      <protection/>
    </xf>
    <xf numFmtId="0" fontId="91" fillId="34" borderId="0" xfId="0" applyFont="1" applyFill="1" applyBorder="1" applyAlignment="1" applyProtection="1">
      <alignment horizontal="center"/>
      <protection/>
    </xf>
    <xf numFmtId="0" fontId="70" fillId="2" borderId="0" xfId="0" applyFont="1" applyFill="1" applyAlignment="1" applyProtection="1">
      <alignment horizontal="center"/>
      <protection/>
    </xf>
    <xf numFmtId="0" fontId="68" fillId="2" borderId="0" xfId="0" applyFont="1" applyFill="1" applyAlignment="1" applyProtection="1">
      <alignment horizontal="center"/>
      <protection/>
    </xf>
    <xf numFmtId="0" fontId="82" fillId="33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123825</xdr:rowOff>
    </xdr:from>
    <xdr:to>
      <xdr:col>8</xdr:col>
      <xdr:colOff>104775</xdr:colOff>
      <xdr:row>4</xdr:row>
      <xdr:rowOff>114300</xdr:rowOff>
    </xdr:to>
    <xdr:pic>
      <xdr:nvPicPr>
        <xdr:cNvPr id="1" name="Picture 1" descr="FDNB_ETD_blu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3825"/>
          <a:ext cx="3657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44"/>
  <sheetViews>
    <sheetView tabSelected="1" zoomScalePageLayoutView="0" workbookViewId="0" topLeftCell="A10">
      <selection activeCell="E10" sqref="E10"/>
    </sheetView>
  </sheetViews>
  <sheetFormatPr defaultColWidth="9.140625" defaultRowHeight="15"/>
  <cols>
    <col min="1" max="1" width="1.57421875" style="1" customWidth="1"/>
    <col min="2" max="2" width="18.421875" style="1" customWidth="1"/>
    <col min="3" max="3" width="16.140625" style="1" customWidth="1"/>
    <col min="4" max="4" width="8.140625" style="1" customWidth="1"/>
    <col min="5" max="5" width="12.140625" style="1" bestFit="1" customWidth="1"/>
    <col min="6" max="6" width="12.421875" style="1" customWidth="1"/>
    <col min="7" max="7" width="13.140625" style="1" customWidth="1"/>
    <col min="8" max="8" width="10.8515625" style="1" customWidth="1"/>
    <col min="9" max="9" width="11.00390625" style="1" customWidth="1"/>
    <col min="10" max="10" width="13.28125" style="1" customWidth="1"/>
    <col min="11" max="11" width="14.7109375" style="1" customWidth="1"/>
    <col min="12" max="12" width="10.00390625" style="1" hidden="1" customWidth="1"/>
    <col min="13" max="13" width="13.421875" style="1" hidden="1" customWidth="1"/>
    <col min="14" max="14" width="10.00390625" style="1" bestFit="1" customWidth="1"/>
    <col min="15" max="15" width="9.140625" style="19" customWidth="1"/>
    <col min="16" max="16" width="10.00390625" style="19" bestFit="1" customWidth="1"/>
    <col min="17" max="16384" width="9.140625" style="1" customWidth="1"/>
  </cols>
  <sheetData>
    <row r="1" s="19" customFormat="1" ht="15"/>
    <row r="2" s="19" customFormat="1" ht="15"/>
    <row r="3" s="19" customFormat="1" ht="15"/>
    <row r="4" s="19" customFormat="1" ht="15"/>
    <row r="5" s="19" customFormat="1" ht="15"/>
    <row r="6" spans="1:11" s="19" customFormat="1" ht="15">
      <c r="A6" s="145" t="s">
        <v>126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0" s="19" customFormat="1" ht="4.5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4" ht="18">
      <c r="A8" s="150" t="s">
        <v>121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9"/>
      <c r="M8" s="19"/>
      <c r="N8" s="19"/>
    </row>
    <row r="9" spans="1:14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60"/>
      <c r="L9" s="19"/>
      <c r="M9" s="19"/>
      <c r="N9" s="19"/>
    </row>
    <row r="10" spans="1:14" ht="15">
      <c r="A10" s="3"/>
      <c r="B10" s="3"/>
      <c r="C10" s="3" t="s">
        <v>0</v>
      </c>
      <c r="D10" s="3"/>
      <c r="E10" s="4">
        <v>40561</v>
      </c>
      <c r="F10" s="3"/>
      <c r="G10" s="3" t="s">
        <v>1</v>
      </c>
      <c r="H10" s="3"/>
      <c r="I10" s="5">
        <v>100</v>
      </c>
      <c r="J10" s="3" t="s">
        <v>2</v>
      </c>
      <c r="K10" s="60"/>
      <c r="L10" s="19"/>
      <c r="M10" s="19"/>
      <c r="N10" s="19"/>
    </row>
    <row r="11" spans="1:14" ht="15">
      <c r="A11" s="3"/>
      <c r="B11" s="3"/>
      <c r="C11" s="3"/>
      <c r="D11" s="3"/>
      <c r="E11" s="6"/>
      <c r="F11" s="3"/>
      <c r="G11" s="3"/>
      <c r="H11" s="3"/>
      <c r="I11" s="3"/>
      <c r="J11" s="3"/>
      <c r="K11" s="60"/>
      <c r="L11" s="19"/>
      <c r="M11" s="19"/>
      <c r="N11" s="19"/>
    </row>
    <row r="12" spans="1:14" ht="15">
      <c r="A12" s="3"/>
      <c r="B12" s="3"/>
      <c r="C12" s="3" t="s">
        <v>3</v>
      </c>
      <c r="D12" s="3"/>
      <c r="E12" s="5">
        <v>650</v>
      </c>
      <c r="F12" s="3" t="s">
        <v>4</v>
      </c>
      <c r="G12" s="3" t="s">
        <v>5</v>
      </c>
      <c r="H12" s="3"/>
      <c r="I12" s="7">
        <v>135</v>
      </c>
      <c r="J12" s="8" t="s">
        <v>6</v>
      </c>
      <c r="K12" s="60"/>
      <c r="L12" s="19"/>
      <c r="M12" s="19"/>
      <c r="N12" s="19"/>
    </row>
    <row r="13" spans="1:14" ht="15">
      <c r="A13" s="3"/>
      <c r="B13" s="3"/>
      <c r="C13" s="3" t="s">
        <v>7</v>
      </c>
      <c r="D13" s="3"/>
      <c r="E13" s="5">
        <v>1300</v>
      </c>
      <c r="F13" s="3"/>
      <c r="G13" s="3" t="s">
        <v>8</v>
      </c>
      <c r="H13" s="3"/>
      <c r="I13" s="7">
        <v>110</v>
      </c>
      <c r="J13" s="8" t="s">
        <v>6</v>
      </c>
      <c r="K13" s="60"/>
      <c r="L13" s="19"/>
      <c r="M13" s="19"/>
      <c r="N13" s="19"/>
    </row>
    <row r="14" spans="1:14" ht="15">
      <c r="A14" s="3"/>
      <c r="B14" s="3"/>
      <c r="C14" s="3" t="s">
        <v>9</v>
      </c>
      <c r="D14" s="3"/>
      <c r="E14" s="9">
        <v>3.1</v>
      </c>
      <c r="F14" s="8" t="s">
        <v>10</v>
      </c>
      <c r="G14" s="3"/>
      <c r="H14" s="3"/>
      <c r="I14" s="3"/>
      <c r="J14" s="3"/>
      <c r="K14" s="60"/>
      <c r="L14" s="19"/>
      <c r="M14" s="19"/>
      <c r="N14" s="19"/>
    </row>
    <row r="15" spans="1:10" s="19" customFormat="1" ht="5.25" customHeight="1">
      <c r="A15" s="21"/>
      <c r="B15" s="21"/>
      <c r="C15" s="22"/>
      <c r="D15" s="22"/>
      <c r="E15" s="22"/>
      <c r="F15" s="23"/>
      <c r="G15" s="21"/>
      <c r="H15" s="21"/>
      <c r="I15" s="21"/>
      <c r="J15" s="21"/>
    </row>
    <row r="16" spans="1:14" ht="15">
      <c r="A16" s="3"/>
      <c r="B16" s="3"/>
      <c r="C16" s="148" t="s">
        <v>11</v>
      </c>
      <c r="D16" s="149"/>
      <c r="E16" s="149"/>
      <c r="F16" s="149"/>
      <c r="G16" s="3"/>
      <c r="H16" s="10" t="s">
        <v>12</v>
      </c>
      <c r="I16" s="11"/>
      <c r="J16" s="12"/>
      <c r="K16" s="60"/>
      <c r="L16" s="19"/>
      <c r="M16" s="19"/>
      <c r="N16" s="19"/>
    </row>
    <row r="17" spans="1:14" ht="15">
      <c r="A17" s="3"/>
      <c r="B17" s="3"/>
      <c r="C17" s="3" t="s">
        <v>13</v>
      </c>
      <c r="D17" s="3"/>
      <c r="E17" s="9">
        <v>7</v>
      </c>
      <c r="F17" s="3" t="s">
        <v>14</v>
      </c>
      <c r="G17" s="3"/>
      <c r="H17" s="7">
        <v>5.5</v>
      </c>
      <c r="I17" s="3" t="s">
        <v>15</v>
      </c>
      <c r="J17" s="3"/>
      <c r="K17" s="60"/>
      <c r="L17" s="19"/>
      <c r="M17" s="19"/>
      <c r="N17" s="19"/>
    </row>
    <row r="18" spans="1:14" ht="15">
      <c r="A18" s="3"/>
      <c r="B18" s="3"/>
      <c r="C18" s="3" t="s">
        <v>16</v>
      </c>
      <c r="D18" s="3"/>
      <c r="E18" s="9">
        <v>2</v>
      </c>
      <c r="F18" s="3" t="s">
        <v>14</v>
      </c>
      <c r="G18" s="3"/>
      <c r="H18" s="7">
        <v>50</v>
      </c>
      <c r="I18" s="8" t="s">
        <v>17</v>
      </c>
      <c r="J18" s="3"/>
      <c r="K18" s="60"/>
      <c r="L18" s="19"/>
      <c r="M18" s="19"/>
      <c r="N18" s="19"/>
    </row>
    <row r="19" spans="1:14" ht="15">
      <c r="A19" s="3"/>
      <c r="B19" s="3"/>
      <c r="C19" s="3" t="s">
        <v>18</v>
      </c>
      <c r="D19" s="3"/>
      <c r="E19" s="9">
        <v>14</v>
      </c>
      <c r="F19" s="3" t="s">
        <v>14</v>
      </c>
      <c r="G19" s="3"/>
      <c r="H19" s="7">
        <v>30</v>
      </c>
      <c r="I19" s="8" t="s">
        <v>17</v>
      </c>
      <c r="J19" s="3"/>
      <c r="K19" s="60"/>
      <c r="L19" s="19"/>
      <c r="M19" s="19"/>
      <c r="N19" s="19"/>
    </row>
    <row r="20" spans="1:14" ht="15">
      <c r="A20" s="3"/>
      <c r="B20" s="3"/>
      <c r="C20" s="3" t="s">
        <v>19</v>
      </c>
      <c r="D20" s="3"/>
      <c r="E20" s="9">
        <v>7</v>
      </c>
      <c r="F20" s="3" t="s">
        <v>14</v>
      </c>
      <c r="G20" s="3"/>
      <c r="H20" s="7">
        <v>100</v>
      </c>
      <c r="I20" s="8" t="s">
        <v>17</v>
      </c>
      <c r="J20" s="3"/>
      <c r="K20" s="60"/>
      <c r="L20" s="19"/>
      <c r="M20" s="19"/>
      <c r="N20" s="19"/>
    </row>
    <row r="21" spans="1:14" ht="15">
      <c r="A21" s="3"/>
      <c r="B21" s="3"/>
      <c r="C21" s="3" t="s">
        <v>20</v>
      </c>
      <c r="D21" s="3"/>
      <c r="E21" s="9">
        <v>0.5</v>
      </c>
      <c r="F21" s="3" t="s">
        <v>14</v>
      </c>
      <c r="G21" s="3"/>
      <c r="H21" s="7">
        <v>500</v>
      </c>
      <c r="I21" s="8" t="s">
        <v>17</v>
      </c>
      <c r="J21" s="3"/>
      <c r="K21" s="60"/>
      <c r="L21" s="19"/>
      <c r="M21" s="19"/>
      <c r="N21" s="19"/>
    </row>
    <row r="22" spans="1:14" ht="15">
      <c r="A22" s="3"/>
      <c r="B22" s="3"/>
      <c r="C22" s="3" t="s">
        <v>21</v>
      </c>
      <c r="D22" s="3"/>
      <c r="E22" s="138">
        <f>SUM(E17:E21)</f>
        <v>30.5</v>
      </c>
      <c r="F22" s="3" t="s">
        <v>14</v>
      </c>
      <c r="G22" s="3"/>
      <c r="H22" s="3"/>
      <c r="I22" s="3"/>
      <c r="J22" s="3"/>
      <c r="K22" s="60"/>
      <c r="L22" s="19"/>
      <c r="M22" s="19"/>
      <c r="N22" s="19"/>
    </row>
    <row r="23" spans="1:10" s="19" customFormat="1" ht="6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4" ht="15">
      <c r="A24" s="148" t="s">
        <v>22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60"/>
      <c r="L24" s="19"/>
      <c r="M24" s="19"/>
      <c r="N24" s="19"/>
    </row>
    <row r="25" spans="1:14" ht="15">
      <c r="A25" s="3"/>
      <c r="B25" s="3"/>
      <c r="C25" s="3" t="s">
        <v>23</v>
      </c>
      <c r="D25" s="3"/>
      <c r="E25" s="13">
        <v>0.06</v>
      </c>
      <c r="F25" s="3"/>
      <c r="G25" s="3" t="s">
        <v>24</v>
      </c>
      <c r="H25" s="7">
        <v>0.25</v>
      </c>
      <c r="I25" s="8" t="s">
        <v>25</v>
      </c>
      <c r="J25" s="3"/>
      <c r="K25" s="60"/>
      <c r="L25" s="19"/>
      <c r="M25" s="19"/>
      <c r="N25" s="19"/>
    </row>
    <row r="26" spans="1:14" ht="15">
      <c r="A26" s="3"/>
      <c r="B26" s="3"/>
      <c r="C26" s="3" t="s">
        <v>26</v>
      </c>
      <c r="D26" s="3"/>
      <c r="E26" s="13">
        <v>0.025</v>
      </c>
      <c r="F26" s="3"/>
      <c r="G26" s="3" t="s">
        <v>27</v>
      </c>
      <c r="H26" s="7">
        <v>36</v>
      </c>
      <c r="I26" s="3" t="s">
        <v>28</v>
      </c>
      <c r="J26" s="3"/>
      <c r="K26" s="60"/>
      <c r="L26" s="19"/>
      <c r="M26" s="19"/>
      <c r="N26" s="19"/>
    </row>
    <row r="27" spans="1:14" ht="15">
      <c r="A27" s="3"/>
      <c r="B27" s="3"/>
      <c r="C27" s="3" t="s">
        <v>29</v>
      </c>
      <c r="D27" s="3"/>
      <c r="E27" s="13">
        <v>0.01</v>
      </c>
      <c r="F27" s="3"/>
      <c r="G27" s="3" t="s">
        <v>30</v>
      </c>
      <c r="H27" s="7">
        <v>12.5</v>
      </c>
      <c r="I27" s="8" t="s">
        <v>31</v>
      </c>
      <c r="J27" s="3"/>
      <c r="K27" s="60"/>
      <c r="L27" s="19"/>
      <c r="M27" s="19"/>
      <c r="N27" s="19"/>
    </row>
    <row r="28" spans="1:14" ht="15">
      <c r="A28" s="3"/>
      <c r="B28" s="3"/>
      <c r="C28" s="3" t="s">
        <v>32</v>
      </c>
      <c r="D28" s="3"/>
      <c r="E28" s="7">
        <v>15</v>
      </c>
      <c r="F28" s="3" t="s">
        <v>33</v>
      </c>
      <c r="G28" s="3" t="s">
        <v>34</v>
      </c>
      <c r="H28" s="14"/>
      <c r="I28" s="8" t="s">
        <v>31</v>
      </c>
      <c r="J28" s="3"/>
      <c r="K28" s="60"/>
      <c r="L28" s="19"/>
      <c r="M28" s="19"/>
      <c r="N28" s="19"/>
    </row>
    <row r="29" spans="1:14" ht="15">
      <c r="A29" s="3"/>
      <c r="B29" s="3"/>
      <c r="C29" s="3" t="s">
        <v>35</v>
      </c>
      <c r="D29" s="3"/>
      <c r="E29" s="139">
        <f>E13*I13*0.015/100</f>
        <v>21.45</v>
      </c>
      <c r="F29" s="8" t="s">
        <v>28</v>
      </c>
      <c r="G29" s="3"/>
      <c r="H29" s="3"/>
      <c r="I29" s="3"/>
      <c r="J29" s="3"/>
      <c r="K29" s="60"/>
      <c r="L29" s="19"/>
      <c r="M29" s="19"/>
      <c r="N29" s="19"/>
    </row>
    <row r="30" spans="1:10" s="19" customFormat="1" ht="6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4" ht="15">
      <c r="A31" s="3"/>
      <c r="B31" s="3"/>
      <c r="C31" s="12"/>
      <c r="D31" s="111"/>
      <c r="E31" s="111"/>
      <c r="F31" s="112" t="s">
        <v>36</v>
      </c>
      <c r="G31" s="113">
        <f>I38</f>
        <v>40770.67741935484</v>
      </c>
      <c r="H31" s="111"/>
      <c r="I31" s="3"/>
      <c r="J31" s="3"/>
      <c r="K31" s="3"/>
      <c r="L31" s="19"/>
      <c r="M31" s="19"/>
      <c r="N31" s="19"/>
    </row>
    <row r="32" spans="1:14" ht="15">
      <c r="A32" s="3"/>
      <c r="B32" s="3"/>
      <c r="C32" s="12"/>
      <c r="D32" s="111"/>
      <c r="E32" s="111"/>
      <c r="F32" s="112" t="s">
        <v>37</v>
      </c>
      <c r="G32" s="114">
        <f>J66</f>
        <v>107.08664564414589</v>
      </c>
      <c r="H32" s="115" t="s">
        <v>6</v>
      </c>
      <c r="I32" s="3"/>
      <c r="J32" s="3"/>
      <c r="K32" s="3"/>
      <c r="L32" s="19"/>
      <c r="M32" s="19"/>
      <c r="N32" s="19"/>
    </row>
    <row r="33" spans="1:14" ht="15">
      <c r="A33" s="3"/>
      <c r="B33" s="3"/>
      <c r="C33" s="12"/>
      <c r="D33" s="111"/>
      <c r="E33" s="111"/>
      <c r="F33" s="112" t="s">
        <v>38</v>
      </c>
      <c r="G33" s="114">
        <f>E66</f>
        <v>140.49175385272568</v>
      </c>
      <c r="H33" s="115" t="s">
        <v>6</v>
      </c>
      <c r="I33" s="3"/>
      <c r="J33" s="3"/>
      <c r="K33" s="3"/>
      <c r="L33" s="19"/>
      <c r="M33" s="19"/>
      <c r="N33" s="19"/>
    </row>
    <row r="34" spans="1:10" s="19" customFormat="1" ht="6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8" ht="21">
      <c r="A35" s="146" t="s">
        <v>120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61"/>
      <c r="M35" s="61"/>
      <c r="N35" s="61"/>
      <c r="O35" s="61"/>
      <c r="P35" s="61"/>
      <c r="Q35" s="61"/>
      <c r="R35" s="61"/>
    </row>
    <row r="36" spans="1:18" s="19" customFormat="1" ht="15">
      <c r="A36" s="60"/>
      <c r="B36" s="3" t="s">
        <v>39</v>
      </c>
      <c r="C36" s="3"/>
      <c r="D36" s="3"/>
      <c r="E36" s="3"/>
      <c r="F36" s="3"/>
      <c r="G36" s="3"/>
      <c r="H36" s="3"/>
      <c r="I36" s="3"/>
      <c r="J36" s="3"/>
      <c r="K36" s="3"/>
      <c r="L36" s="21"/>
      <c r="M36" s="27"/>
      <c r="N36" s="27"/>
      <c r="O36" s="27"/>
      <c r="Q36" s="25"/>
      <c r="R36" s="25"/>
    </row>
    <row r="37" spans="1:18" ht="15">
      <c r="A37" s="60"/>
      <c r="B37" s="43" t="s">
        <v>40</v>
      </c>
      <c r="C37" s="43"/>
      <c r="D37" s="43"/>
      <c r="E37" s="33">
        <f>E12</f>
        <v>650</v>
      </c>
      <c r="F37" s="43" t="s">
        <v>41</v>
      </c>
      <c r="G37" s="34">
        <f>I12</f>
        <v>135</v>
      </c>
      <c r="H37" s="62" t="s">
        <v>42</v>
      </c>
      <c r="I37" s="35">
        <f>E10</f>
        <v>40561</v>
      </c>
      <c r="J37" s="43" t="s">
        <v>43</v>
      </c>
      <c r="K37" s="43"/>
      <c r="L37" s="53"/>
      <c r="M37" s="53"/>
      <c r="N37" s="21"/>
      <c r="O37" s="18"/>
      <c r="P37" s="25"/>
      <c r="Q37" s="19"/>
      <c r="R37" s="19"/>
    </row>
    <row r="38" spans="1:18" ht="15">
      <c r="A38" s="60"/>
      <c r="B38" s="43" t="s">
        <v>44</v>
      </c>
      <c r="C38" s="43"/>
      <c r="D38" s="43"/>
      <c r="E38" s="33">
        <f>E13</f>
        <v>1300</v>
      </c>
      <c r="F38" s="43" t="s">
        <v>41</v>
      </c>
      <c r="G38" s="34">
        <f>I13</f>
        <v>110</v>
      </c>
      <c r="H38" s="62" t="s">
        <v>42</v>
      </c>
      <c r="I38" s="35">
        <f>+I37+E39</f>
        <v>40770.67741935484</v>
      </c>
      <c r="J38" s="43" t="s">
        <v>45</v>
      </c>
      <c r="K38" s="43"/>
      <c r="L38" s="53"/>
      <c r="M38" s="53"/>
      <c r="N38" s="21"/>
      <c r="O38" s="18"/>
      <c r="P38" s="25"/>
      <c r="Q38" s="19"/>
      <c r="R38" s="19"/>
    </row>
    <row r="39" spans="1:18" ht="15">
      <c r="A39" s="3"/>
      <c r="B39" s="43" t="s">
        <v>46</v>
      </c>
      <c r="C39" s="43"/>
      <c r="D39" s="43"/>
      <c r="E39" s="36">
        <f>E40/I40</f>
        <v>209.6774193548387</v>
      </c>
      <c r="F39" s="43" t="s">
        <v>47</v>
      </c>
      <c r="G39" s="63"/>
      <c r="H39" s="63"/>
      <c r="I39" s="63"/>
      <c r="J39" s="43"/>
      <c r="K39" s="43"/>
      <c r="L39" s="53"/>
      <c r="M39" s="53"/>
      <c r="N39" s="21"/>
      <c r="O39" s="18"/>
      <c r="P39" s="25"/>
      <c r="Q39" s="19"/>
      <c r="R39" s="19"/>
    </row>
    <row r="40" spans="1:18" ht="15">
      <c r="A40" s="3"/>
      <c r="B40" s="43" t="s">
        <v>48</v>
      </c>
      <c r="C40" s="43"/>
      <c r="D40" s="43"/>
      <c r="E40" s="37">
        <f>+E38-E37</f>
        <v>650</v>
      </c>
      <c r="F40" s="43" t="s">
        <v>49</v>
      </c>
      <c r="G40" s="63" t="s">
        <v>50</v>
      </c>
      <c r="H40" s="63"/>
      <c r="I40" s="38">
        <f>E14</f>
        <v>3.1</v>
      </c>
      <c r="J40" s="43" t="s">
        <v>49</v>
      </c>
      <c r="K40" s="43"/>
      <c r="L40" s="53"/>
      <c r="M40" s="53"/>
      <c r="N40" s="21"/>
      <c r="O40" s="18"/>
      <c r="P40" s="25"/>
      <c r="Q40" s="19"/>
      <c r="R40" s="19"/>
    </row>
    <row r="41" spans="1:18" ht="15">
      <c r="A41" s="3"/>
      <c r="B41" s="43" t="s">
        <v>51</v>
      </c>
      <c r="C41" s="43"/>
      <c r="D41" s="43"/>
      <c r="E41" s="38">
        <f>G41/I40</f>
        <v>9.838709677419354</v>
      </c>
      <c r="F41" s="64" t="s">
        <v>52</v>
      </c>
      <c r="G41" s="39">
        <f>C44+C45+C46+C47+C48</f>
        <v>30.5</v>
      </c>
      <c r="H41" s="63" t="s">
        <v>53</v>
      </c>
      <c r="I41" s="63"/>
      <c r="J41" s="43"/>
      <c r="K41" s="43"/>
      <c r="L41" s="53"/>
      <c r="M41" s="53"/>
      <c r="N41" s="18"/>
      <c r="O41" s="54"/>
      <c r="Q41" s="19"/>
      <c r="R41" s="19"/>
    </row>
    <row r="42" spans="1:15" s="19" customFormat="1" ht="15">
      <c r="A42" s="3"/>
      <c r="B42" s="43"/>
      <c r="C42" s="43"/>
      <c r="D42" s="43"/>
      <c r="E42" s="43"/>
      <c r="F42" s="65"/>
      <c r="G42" s="66"/>
      <c r="H42" s="67"/>
      <c r="I42" s="68"/>
      <c r="J42" s="69"/>
      <c r="K42" s="43"/>
      <c r="L42" s="53"/>
      <c r="M42" s="53"/>
      <c r="N42" s="29"/>
      <c r="O42" s="54"/>
    </row>
    <row r="43" spans="1:18" ht="15">
      <c r="A43" s="3"/>
      <c r="B43" s="108" t="s">
        <v>54</v>
      </c>
      <c r="C43" s="43"/>
      <c r="D43" s="43"/>
      <c r="E43" s="40">
        <f>E37</f>
        <v>650</v>
      </c>
      <c r="F43" s="43" t="s">
        <v>41</v>
      </c>
      <c r="G43" s="41">
        <f>G37</f>
        <v>135</v>
      </c>
      <c r="H43" s="71" t="s">
        <v>6</v>
      </c>
      <c r="I43" s="43"/>
      <c r="J43" s="43"/>
      <c r="K43" s="107">
        <f>(+E43*G43)/100</f>
        <v>877.5</v>
      </c>
      <c r="L43" s="53"/>
      <c r="M43" s="56"/>
      <c r="N43" s="54"/>
      <c r="O43" s="27"/>
      <c r="Q43" s="19"/>
      <c r="R43" s="19"/>
    </row>
    <row r="44" spans="1:18" ht="15">
      <c r="A44" s="3"/>
      <c r="B44" s="43" t="s">
        <v>13</v>
      </c>
      <c r="C44" s="42">
        <f>E17</f>
        <v>7</v>
      </c>
      <c r="D44" s="43" t="s">
        <v>116</v>
      </c>
      <c r="E44" s="44">
        <f>E39</f>
        <v>209.6774193548387</v>
      </c>
      <c r="F44" s="43" t="s">
        <v>115</v>
      </c>
      <c r="G44" s="45">
        <f>H17/56</f>
        <v>0.09821428571428571</v>
      </c>
      <c r="H44" s="43" t="s">
        <v>55</v>
      </c>
      <c r="I44" s="46">
        <f>+C44*E44*G44</f>
        <v>144.1532258064516</v>
      </c>
      <c r="J44" s="43"/>
      <c r="K44" s="43"/>
      <c r="L44" s="57"/>
      <c r="M44" s="57"/>
      <c r="N44" s="27"/>
      <c r="O44" s="27"/>
      <c r="Q44" s="19"/>
      <c r="R44" s="19"/>
    </row>
    <row r="45" spans="1:15" ht="15">
      <c r="A45" s="3"/>
      <c r="B45" s="63" t="s">
        <v>16</v>
      </c>
      <c r="C45" s="42">
        <f>E18</f>
        <v>2</v>
      </c>
      <c r="D45" s="43" t="s">
        <v>116</v>
      </c>
      <c r="E45" s="44">
        <f>E39</f>
        <v>209.6774193548387</v>
      </c>
      <c r="F45" s="43" t="s">
        <v>115</v>
      </c>
      <c r="G45" s="46">
        <f>H18/2000</f>
        <v>0.025</v>
      </c>
      <c r="H45" s="43" t="s">
        <v>55</v>
      </c>
      <c r="I45" s="46">
        <f>+C45*E45*G45</f>
        <v>10.483870967741936</v>
      </c>
      <c r="J45" s="43"/>
      <c r="K45" s="43"/>
      <c r="L45" s="57"/>
      <c r="M45" s="57"/>
      <c r="N45" s="27"/>
      <c r="O45" s="27"/>
    </row>
    <row r="46" spans="1:15" ht="15">
      <c r="A46" s="3"/>
      <c r="B46" s="43" t="s">
        <v>18</v>
      </c>
      <c r="C46" s="42">
        <f>E19</f>
        <v>14</v>
      </c>
      <c r="D46" s="43" t="s">
        <v>116</v>
      </c>
      <c r="E46" s="44">
        <f>E39</f>
        <v>209.6774193548387</v>
      </c>
      <c r="F46" s="43" t="s">
        <v>115</v>
      </c>
      <c r="G46" s="46">
        <f>H19/2000</f>
        <v>0.015</v>
      </c>
      <c r="H46" s="43" t="s">
        <v>55</v>
      </c>
      <c r="I46" s="46">
        <f>+C46*E46*G46</f>
        <v>44.03225806451612</v>
      </c>
      <c r="J46" s="43"/>
      <c r="K46" s="43"/>
      <c r="L46" s="57"/>
      <c r="M46" s="57"/>
      <c r="N46" s="27"/>
      <c r="O46" s="27"/>
    </row>
    <row r="47" spans="1:15" ht="15">
      <c r="A47" s="3"/>
      <c r="B47" s="43" t="s">
        <v>56</v>
      </c>
      <c r="C47" s="42">
        <f>E20</f>
        <v>7</v>
      </c>
      <c r="D47" s="43" t="s">
        <v>116</v>
      </c>
      <c r="E47" s="44">
        <f>E39</f>
        <v>209.6774193548387</v>
      </c>
      <c r="F47" s="43" t="s">
        <v>115</v>
      </c>
      <c r="G47" s="46">
        <f>H20/2000</f>
        <v>0.05</v>
      </c>
      <c r="H47" s="43" t="s">
        <v>55</v>
      </c>
      <c r="I47" s="46">
        <f>+C47*E47*G47</f>
        <v>73.38709677419354</v>
      </c>
      <c r="J47" s="43"/>
      <c r="K47" s="43"/>
      <c r="L47" s="57"/>
      <c r="M47" s="57"/>
      <c r="N47" s="27"/>
      <c r="O47" s="27"/>
    </row>
    <row r="48" spans="1:15" ht="15">
      <c r="A48" s="3"/>
      <c r="B48" s="43" t="s">
        <v>20</v>
      </c>
      <c r="C48" s="42">
        <f>E21</f>
        <v>0.5</v>
      </c>
      <c r="D48" s="43" t="s">
        <v>116</v>
      </c>
      <c r="E48" s="44">
        <f>E39</f>
        <v>209.6774193548387</v>
      </c>
      <c r="F48" s="43" t="s">
        <v>115</v>
      </c>
      <c r="G48" s="47">
        <f>H21/2000</f>
        <v>0.25</v>
      </c>
      <c r="H48" s="43"/>
      <c r="I48" s="46">
        <f>+C48*E48*G48</f>
        <v>26.209677419354836</v>
      </c>
      <c r="J48" s="43"/>
      <c r="K48" s="43"/>
      <c r="L48" s="57"/>
      <c r="M48" s="57"/>
      <c r="N48" s="27"/>
      <c r="O48" s="27"/>
    </row>
    <row r="49" spans="1:15" ht="15">
      <c r="A49" s="3"/>
      <c r="B49" s="108" t="s">
        <v>57</v>
      </c>
      <c r="C49" s="43"/>
      <c r="D49" s="43"/>
      <c r="E49" s="107">
        <f>+K49/E40*100</f>
        <v>45.88709677419354</v>
      </c>
      <c r="F49" s="109" t="s">
        <v>58</v>
      </c>
      <c r="G49" s="43"/>
      <c r="H49" s="43"/>
      <c r="I49" s="43"/>
      <c r="J49" s="43"/>
      <c r="K49" s="107">
        <f>+I44+I45+I46+I47+I48</f>
        <v>298.266129032258</v>
      </c>
      <c r="L49" s="53"/>
      <c r="M49" s="56"/>
      <c r="N49" s="54"/>
      <c r="O49" s="27"/>
    </row>
    <row r="50" spans="1:15" ht="15">
      <c r="A50" s="3"/>
      <c r="B50" s="108" t="s">
        <v>60</v>
      </c>
      <c r="C50" s="43"/>
      <c r="D50" s="43"/>
      <c r="E50" s="43"/>
      <c r="F50" s="43"/>
      <c r="G50" s="43"/>
      <c r="H50" s="43"/>
      <c r="I50" s="43"/>
      <c r="J50" s="43"/>
      <c r="K50" s="43"/>
      <c r="L50" s="53"/>
      <c r="M50" s="53"/>
      <c r="N50" s="18"/>
      <c r="O50" s="54"/>
    </row>
    <row r="51" spans="1:14" ht="15">
      <c r="A51" s="3"/>
      <c r="B51" s="43" t="s">
        <v>117</v>
      </c>
      <c r="C51" s="43"/>
      <c r="D51" s="73" t="s">
        <v>61</v>
      </c>
      <c r="E51" s="48">
        <f>K43</f>
        <v>877.5</v>
      </c>
      <c r="F51" s="43" t="s">
        <v>62</v>
      </c>
      <c r="G51" s="43"/>
      <c r="H51" s="49">
        <f>E25</f>
        <v>0.06</v>
      </c>
      <c r="I51" s="46">
        <f>+E51*H51/365*E39</f>
        <v>30.245249668581522</v>
      </c>
      <c r="J51" s="47"/>
      <c r="K51" s="43"/>
      <c r="L51" s="53">
        <f>((H51*E37/100)*E66)/365*E39</f>
        <v>31.475616086315476</v>
      </c>
      <c r="M51" s="18"/>
      <c r="N51" s="54"/>
    </row>
    <row r="52" spans="1:14" ht="15">
      <c r="A52" s="3"/>
      <c r="B52" s="43" t="s">
        <v>63</v>
      </c>
      <c r="C52" s="43"/>
      <c r="D52" s="74" t="s">
        <v>118</v>
      </c>
      <c r="E52" s="50">
        <f>H25</f>
        <v>0.25</v>
      </c>
      <c r="F52" s="43" t="s">
        <v>64</v>
      </c>
      <c r="G52" s="43"/>
      <c r="H52" s="43"/>
      <c r="I52" s="46">
        <f>+E52*E39</f>
        <v>52.41935483870967</v>
      </c>
      <c r="J52" s="47"/>
      <c r="K52" s="43"/>
      <c r="L52" s="53"/>
      <c r="M52" s="18"/>
      <c r="N52" s="54"/>
    </row>
    <row r="53" spans="1:14" ht="15">
      <c r="A53" s="3"/>
      <c r="B53" s="43" t="s">
        <v>119</v>
      </c>
      <c r="C53" s="51">
        <f>E27</f>
        <v>0.01</v>
      </c>
      <c r="D53" s="43"/>
      <c r="E53" s="47" t="s">
        <v>59</v>
      </c>
      <c r="F53" s="43" t="s">
        <v>59</v>
      </c>
      <c r="G53" s="43"/>
      <c r="H53" s="43"/>
      <c r="I53" s="46">
        <f>+I63*C53</f>
        <v>13.9425</v>
      </c>
      <c r="J53" s="47"/>
      <c r="K53" s="43"/>
      <c r="L53" s="53"/>
      <c r="M53" s="18"/>
      <c r="N53" s="54"/>
    </row>
    <row r="54" spans="1:14" ht="15">
      <c r="A54" s="3"/>
      <c r="B54" s="43" t="s">
        <v>65</v>
      </c>
      <c r="C54" s="46">
        <f>H27</f>
        <v>12.5</v>
      </c>
      <c r="D54" s="71" t="s">
        <v>66</v>
      </c>
      <c r="E54" s="75" t="s">
        <v>67</v>
      </c>
      <c r="F54" s="43"/>
      <c r="G54" s="46">
        <f>H28</f>
        <v>0</v>
      </c>
      <c r="H54" s="71" t="s">
        <v>66</v>
      </c>
      <c r="I54" s="46">
        <f>+G54+C54</f>
        <v>12.5</v>
      </c>
      <c r="J54" s="47"/>
      <c r="K54" s="43"/>
      <c r="L54" s="53"/>
      <c r="M54" s="18"/>
      <c r="N54" s="54"/>
    </row>
    <row r="55" spans="1:14" ht="15">
      <c r="A55" s="3"/>
      <c r="B55" s="43" t="s">
        <v>68</v>
      </c>
      <c r="C55" s="52">
        <f>H26</f>
        <v>36</v>
      </c>
      <c r="D55" s="71" t="s">
        <v>66</v>
      </c>
      <c r="E55" s="43" t="s">
        <v>69</v>
      </c>
      <c r="F55" s="43"/>
      <c r="G55" s="46">
        <f>E29</f>
        <v>21.45</v>
      </c>
      <c r="H55" s="71" t="s">
        <v>66</v>
      </c>
      <c r="I55" s="46">
        <f>+G55+C55</f>
        <v>57.45</v>
      </c>
      <c r="J55" s="47"/>
      <c r="K55" s="43"/>
      <c r="L55" s="53"/>
      <c r="M55" s="18"/>
      <c r="N55" s="54"/>
    </row>
    <row r="56" spans="1:14" ht="15">
      <c r="A56" s="3"/>
      <c r="B56" s="43" t="s">
        <v>70</v>
      </c>
      <c r="C56" s="43"/>
      <c r="D56" s="43"/>
      <c r="E56" s="43"/>
      <c r="F56" s="43"/>
      <c r="G56" s="43"/>
      <c r="H56" s="43"/>
      <c r="I56" s="46">
        <f>E28</f>
        <v>15</v>
      </c>
      <c r="J56" s="47"/>
      <c r="K56" s="43"/>
      <c r="L56" s="53"/>
      <c r="M56" s="18"/>
      <c r="N56" s="54"/>
    </row>
    <row r="57" spans="1:15" ht="15">
      <c r="A57" s="3"/>
      <c r="B57" s="108" t="s">
        <v>71</v>
      </c>
      <c r="C57" s="43"/>
      <c r="D57" s="43"/>
      <c r="E57" s="43"/>
      <c r="F57" s="43"/>
      <c r="G57" s="43"/>
      <c r="H57" s="43"/>
      <c r="I57" s="43"/>
      <c r="J57" s="47"/>
      <c r="K57" s="107">
        <f>SUM(I49:I56)</f>
        <v>181.55710450729117</v>
      </c>
      <c r="L57" s="53"/>
      <c r="M57" s="58"/>
      <c r="N57" s="54"/>
      <c r="O57" s="27"/>
    </row>
    <row r="58" spans="1:17" ht="15">
      <c r="A58" s="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59"/>
      <c r="M58" s="55"/>
      <c r="N58" s="21"/>
      <c r="O58" s="21"/>
      <c r="P58" s="17"/>
      <c r="Q58" s="15"/>
    </row>
    <row r="59" spans="1:14" ht="15">
      <c r="A59" s="3"/>
      <c r="B59" s="116" t="s">
        <v>72</v>
      </c>
      <c r="C59" s="75"/>
      <c r="D59" s="75"/>
      <c r="E59" s="75"/>
      <c r="F59" s="75"/>
      <c r="G59" s="117" t="s">
        <v>73</v>
      </c>
      <c r="H59" s="118">
        <f>(+K57+K49)/E40*100</f>
        <v>73.81895900608448</v>
      </c>
      <c r="I59" s="119" t="s">
        <v>74</v>
      </c>
      <c r="J59" s="75"/>
      <c r="K59" s="118">
        <f>+K43+K49+K57</f>
        <v>1357.3232335395492</v>
      </c>
      <c r="L59" s="18"/>
      <c r="M59" s="18"/>
      <c r="N59" s="25"/>
    </row>
    <row r="60" spans="1:17" s="19" customFormat="1" ht="6" customHeight="1">
      <c r="A60" s="21"/>
      <c r="B60" s="135"/>
      <c r="C60" s="57"/>
      <c r="D60" s="57"/>
      <c r="E60" s="57"/>
      <c r="F60" s="57"/>
      <c r="G60" s="57"/>
      <c r="H60" s="57"/>
      <c r="I60" s="59"/>
      <c r="J60" s="57"/>
      <c r="K60" s="57"/>
      <c r="L60" s="57"/>
      <c r="M60" s="53"/>
      <c r="N60" s="30"/>
      <c r="O60" s="21"/>
      <c r="P60" s="17"/>
      <c r="Q60" s="25"/>
    </row>
    <row r="61" spans="1:14" ht="15">
      <c r="A61" s="3"/>
      <c r="B61" s="72"/>
      <c r="C61" s="120"/>
      <c r="D61" s="72"/>
      <c r="E61" s="72"/>
      <c r="F61" s="72"/>
      <c r="G61" s="72"/>
      <c r="H61" s="72"/>
      <c r="I61" s="72"/>
      <c r="J61" s="43"/>
      <c r="K61" s="103" t="s">
        <v>75</v>
      </c>
      <c r="L61" s="134"/>
      <c r="M61" s="19"/>
      <c r="N61" s="19"/>
    </row>
    <row r="62" spans="1:14" ht="15">
      <c r="A62" s="3"/>
      <c r="B62" s="121" t="s">
        <v>76</v>
      </c>
      <c r="C62" s="63" t="s">
        <v>77</v>
      </c>
      <c r="D62" s="43"/>
      <c r="E62" s="42">
        <f>E63</f>
        <v>1267.5</v>
      </c>
      <c r="F62" s="73" t="s">
        <v>78</v>
      </c>
      <c r="G62" s="46">
        <f>G63-3</f>
        <v>107</v>
      </c>
      <c r="H62" s="43" t="s">
        <v>6</v>
      </c>
      <c r="I62" s="34">
        <f>+E62*G62/100</f>
        <v>1356.225</v>
      </c>
      <c r="J62" s="43" t="s">
        <v>79</v>
      </c>
      <c r="K62" s="76">
        <f>I62-K59</f>
        <v>-1.0982335395492555</v>
      </c>
      <c r="L62" s="134"/>
      <c r="M62" s="19"/>
      <c r="N62" s="19"/>
    </row>
    <row r="63" spans="1:14" ht="15">
      <c r="A63" s="3"/>
      <c r="B63" s="60"/>
      <c r="C63" s="108" t="s">
        <v>80</v>
      </c>
      <c r="D63" s="108"/>
      <c r="E63" s="110">
        <f>E38*(1-E26)</f>
        <v>1267.5</v>
      </c>
      <c r="F63" s="122" t="s">
        <v>78</v>
      </c>
      <c r="G63" s="107">
        <f>+G38</f>
        <v>110</v>
      </c>
      <c r="H63" s="108" t="s">
        <v>6</v>
      </c>
      <c r="I63" s="107">
        <f>+E63*G63/100</f>
        <v>1394.25</v>
      </c>
      <c r="J63" s="75"/>
      <c r="K63" s="76">
        <f>I63-K59</f>
        <v>36.926766460450835</v>
      </c>
      <c r="L63" s="134"/>
      <c r="M63" s="19"/>
      <c r="N63" s="19"/>
    </row>
    <row r="64" spans="1:14" ht="15">
      <c r="A64" s="3"/>
      <c r="B64" s="43" t="s">
        <v>59</v>
      </c>
      <c r="C64" s="63" t="s">
        <v>81</v>
      </c>
      <c r="D64" s="43"/>
      <c r="E64" s="42">
        <f>E63</f>
        <v>1267.5</v>
      </c>
      <c r="F64" s="73" t="s">
        <v>78</v>
      </c>
      <c r="G64" s="46">
        <f>G63+3</f>
        <v>113</v>
      </c>
      <c r="H64" s="43" t="s">
        <v>6</v>
      </c>
      <c r="I64" s="34">
        <f>+E64*G64/100</f>
        <v>1432.275</v>
      </c>
      <c r="J64" s="43" t="s">
        <v>82</v>
      </c>
      <c r="K64" s="76">
        <f>I64-K59</f>
        <v>74.95176646045093</v>
      </c>
      <c r="L64" s="134"/>
      <c r="M64" s="19"/>
      <c r="N64" s="19"/>
    </row>
    <row r="65" spans="1:14" ht="15">
      <c r="A65" s="3"/>
      <c r="B65" s="43"/>
      <c r="C65" s="43"/>
      <c r="D65" s="43"/>
      <c r="E65" s="43"/>
      <c r="F65" s="43"/>
      <c r="G65" s="43"/>
      <c r="H65" s="43"/>
      <c r="I65" s="43"/>
      <c r="J65" s="43"/>
      <c r="K65" s="75"/>
      <c r="L65" s="53"/>
      <c r="M65" s="17"/>
      <c r="N65" s="25"/>
    </row>
    <row r="66" spans="1:14" ht="15">
      <c r="A66" s="130"/>
      <c r="B66" s="131"/>
      <c r="C66" s="131"/>
      <c r="D66" s="132" t="s">
        <v>83</v>
      </c>
      <c r="E66" s="131">
        <f>(I63-K57-K49+I51-L51)/E37*100</f>
        <v>140.49175385272568</v>
      </c>
      <c r="F66" s="131" t="s">
        <v>6</v>
      </c>
      <c r="G66" s="131"/>
      <c r="H66" s="131"/>
      <c r="I66" s="132" t="s">
        <v>84</v>
      </c>
      <c r="J66" s="131">
        <f>(+K59/E63)*100</f>
        <v>107.08664564414589</v>
      </c>
      <c r="K66" s="133" t="s">
        <v>6</v>
      </c>
      <c r="L66" s="25"/>
      <c r="M66" s="19"/>
      <c r="N66" s="19"/>
    </row>
    <row r="67" spans="1:17" s="19" customFormat="1" ht="6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8"/>
      <c r="M67" s="21"/>
      <c r="N67" s="21"/>
      <c r="O67" s="24"/>
      <c r="P67" s="17"/>
      <c r="Q67" s="25"/>
    </row>
    <row r="68" spans="1:18" ht="18">
      <c r="A68" s="146" t="s">
        <v>122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77"/>
      <c r="M68" s="28"/>
      <c r="N68" s="21"/>
      <c r="O68" s="21"/>
      <c r="P68" s="24"/>
      <c r="Q68" s="16"/>
      <c r="R68" s="15"/>
    </row>
    <row r="69" spans="1:18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21"/>
      <c r="M69" s="28"/>
      <c r="N69" s="21"/>
      <c r="O69" s="21"/>
      <c r="P69" s="24"/>
      <c r="Q69" s="16"/>
      <c r="R69" s="15"/>
    </row>
    <row r="70" spans="1:15" ht="15">
      <c r="A70" s="3"/>
      <c r="B70" s="43"/>
      <c r="C70" s="43" t="s">
        <v>85</v>
      </c>
      <c r="D70" s="43"/>
      <c r="E70" s="43"/>
      <c r="F70" s="82">
        <f>I10</f>
        <v>100</v>
      </c>
      <c r="G70" s="43"/>
      <c r="H70" s="83"/>
      <c r="I70" s="84"/>
      <c r="J70" s="26"/>
      <c r="K70" s="3"/>
      <c r="L70" s="21"/>
      <c r="M70" s="24"/>
      <c r="N70" s="17"/>
      <c r="O70" s="25"/>
    </row>
    <row r="71" spans="1:18" ht="15">
      <c r="A71" s="3"/>
      <c r="B71" s="70" t="s">
        <v>86</v>
      </c>
      <c r="C71" s="43"/>
      <c r="D71" s="43"/>
      <c r="E71" s="43"/>
      <c r="F71" s="43"/>
      <c r="G71" s="82"/>
      <c r="H71" s="43"/>
      <c r="I71" s="85"/>
      <c r="J71" s="43"/>
      <c r="K71" s="83"/>
      <c r="L71" s="79"/>
      <c r="M71" s="28"/>
      <c r="N71" s="21"/>
      <c r="O71" s="21"/>
      <c r="P71" s="24"/>
      <c r="Q71" s="16"/>
      <c r="R71" s="15"/>
    </row>
    <row r="72" spans="1:17" ht="15">
      <c r="A72" s="3"/>
      <c r="B72" s="43" t="s">
        <v>87</v>
      </c>
      <c r="C72" s="60"/>
      <c r="D72" s="43"/>
      <c r="E72" s="43"/>
      <c r="F72" s="82"/>
      <c r="G72" s="43"/>
      <c r="H72" s="85"/>
      <c r="I72" s="43"/>
      <c r="J72" s="83"/>
      <c r="K72" s="84"/>
      <c r="L72" s="28"/>
      <c r="M72" s="21"/>
      <c r="N72" s="21"/>
      <c r="O72" s="24"/>
      <c r="P72" s="17"/>
      <c r="Q72" s="15"/>
    </row>
    <row r="73" spans="1:17" ht="15">
      <c r="A73" s="3"/>
      <c r="B73" s="43"/>
      <c r="C73" s="82">
        <f>I10*(1-E27)</f>
        <v>99</v>
      </c>
      <c r="D73" s="43" t="s">
        <v>88</v>
      </c>
      <c r="E73" s="43" t="s">
        <v>89</v>
      </c>
      <c r="F73" s="86">
        <f>E63</f>
        <v>1267.5</v>
      </c>
      <c r="G73" s="43" t="s">
        <v>49</v>
      </c>
      <c r="H73" s="85" t="s">
        <v>90</v>
      </c>
      <c r="I73" s="87">
        <f>G63</f>
        <v>110</v>
      </c>
      <c r="J73" s="88" t="s">
        <v>91</v>
      </c>
      <c r="K73" s="89">
        <f>(F73*I73/100)*C73</f>
        <v>138030.75</v>
      </c>
      <c r="L73" s="28"/>
      <c r="M73" s="21"/>
      <c r="N73" s="21"/>
      <c r="O73" s="24"/>
      <c r="P73" s="17"/>
      <c r="Q73" s="15"/>
    </row>
    <row r="74" spans="1:18" s="19" customFormat="1" ht="6" customHeight="1">
      <c r="A74" s="3"/>
      <c r="B74" s="43"/>
      <c r="C74" s="43"/>
      <c r="D74" s="82"/>
      <c r="E74" s="43"/>
      <c r="F74" s="43"/>
      <c r="G74" s="82"/>
      <c r="H74" s="43"/>
      <c r="I74" s="85"/>
      <c r="J74" s="87"/>
      <c r="K74" s="83"/>
      <c r="L74" s="80"/>
      <c r="M74" s="28"/>
      <c r="N74" s="21"/>
      <c r="O74" s="21"/>
      <c r="P74" s="24"/>
      <c r="Q74" s="17"/>
      <c r="R74" s="25"/>
    </row>
    <row r="75" spans="1:18" ht="15">
      <c r="A75" s="3"/>
      <c r="B75" s="70" t="s">
        <v>92</v>
      </c>
      <c r="C75" s="43"/>
      <c r="D75" s="43"/>
      <c r="E75" s="43"/>
      <c r="F75" s="43"/>
      <c r="G75" s="82"/>
      <c r="H75" s="43"/>
      <c r="I75" s="85"/>
      <c r="J75" s="43"/>
      <c r="K75" s="83"/>
      <c r="L75" s="79"/>
      <c r="M75" s="28"/>
      <c r="N75" s="21"/>
      <c r="O75" s="21"/>
      <c r="P75" s="24"/>
      <c r="Q75" s="16"/>
      <c r="R75" s="15"/>
    </row>
    <row r="76" spans="1:17" ht="15">
      <c r="A76" s="3"/>
      <c r="B76" s="43" t="s">
        <v>93</v>
      </c>
      <c r="C76" s="60"/>
      <c r="D76" s="43"/>
      <c r="E76" s="43"/>
      <c r="F76" s="82"/>
      <c r="G76" s="43"/>
      <c r="H76" s="85"/>
      <c r="I76" s="43"/>
      <c r="J76" s="83"/>
      <c r="K76" s="84"/>
      <c r="L76" s="28"/>
      <c r="M76" s="21"/>
      <c r="N76" s="21"/>
      <c r="O76" s="24"/>
      <c r="P76" s="17"/>
      <c r="Q76" s="15"/>
    </row>
    <row r="77" spans="1:17" ht="15">
      <c r="A77" s="3"/>
      <c r="B77" s="43"/>
      <c r="C77" s="82">
        <f>I10</f>
        <v>100</v>
      </c>
      <c r="D77" s="43" t="s">
        <v>88</v>
      </c>
      <c r="E77" s="43" t="s">
        <v>89</v>
      </c>
      <c r="F77" s="82">
        <f>E12</f>
        <v>650</v>
      </c>
      <c r="G77" s="43" t="s">
        <v>49</v>
      </c>
      <c r="H77" s="85" t="s">
        <v>94</v>
      </c>
      <c r="I77" s="87">
        <f>I12</f>
        <v>135</v>
      </c>
      <c r="J77" s="88" t="s">
        <v>91</v>
      </c>
      <c r="K77" s="89">
        <f>C77*F77*I77/100</f>
        <v>87750</v>
      </c>
      <c r="L77" s="28"/>
      <c r="M77" s="21"/>
      <c r="N77" s="21"/>
      <c r="O77" s="24"/>
      <c r="P77" s="17"/>
      <c r="Q77" s="15"/>
    </row>
    <row r="78" spans="1:17" ht="15">
      <c r="A78" s="3"/>
      <c r="B78" s="43" t="s">
        <v>95</v>
      </c>
      <c r="C78" s="43"/>
      <c r="D78" s="43"/>
      <c r="E78" s="43"/>
      <c r="F78" s="43"/>
      <c r="G78" s="43" t="s">
        <v>96</v>
      </c>
      <c r="H78" s="43"/>
      <c r="I78" s="85" t="s">
        <v>97</v>
      </c>
      <c r="J78" s="83"/>
      <c r="K78" s="84"/>
      <c r="L78" s="28"/>
      <c r="M78" s="21"/>
      <c r="N78" s="21"/>
      <c r="O78" s="24"/>
      <c r="P78" s="17"/>
      <c r="Q78" s="15"/>
    </row>
    <row r="79" spans="1:17" ht="15">
      <c r="A79" s="3"/>
      <c r="B79" s="43"/>
      <c r="C79" s="43"/>
      <c r="D79" s="43" t="s">
        <v>98</v>
      </c>
      <c r="E79" s="43"/>
      <c r="F79" s="43"/>
      <c r="G79" s="90">
        <f>(C44*E44*I10)/56</f>
        <v>2620.9677419354834</v>
      </c>
      <c r="H79" s="43" t="s">
        <v>99</v>
      </c>
      <c r="I79" s="91">
        <f>G79*H17</f>
        <v>14415.32258064516</v>
      </c>
      <c r="J79" s="92"/>
      <c r="K79" s="92"/>
      <c r="L79" s="28"/>
      <c r="M79" s="21"/>
      <c r="N79" s="21"/>
      <c r="O79" s="24"/>
      <c r="P79" s="17"/>
      <c r="Q79" s="15"/>
    </row>
    <row r="80" spans="1:17" ht="15">
      <c r="A80" s="3"/>
      <c r="B80" s="43"/>
      <c r="C80" s="43"/>
      <c r="D80" s="43" t="s">
        <v>100</v>
      </c>
      <c r="E80" s="43"/>
      <c r="F80" s="43"/>
      <c r="G80" s="90">
        <f>(C45*E45*I10)/2000</f>
        <v>20.96774193548387</v>
      </c>
      <c r="H80" s="43" t="s">
        <v>101</v>
      </c>
      <c r="I80" s="91">
        <f>G80*H18</f>
        <v>1048.3870967741934</v>
      </c>
      <c r="J80" s="92"/>
      <c r="K80" s="92"/>
      <c r="L80" s="28"/>
      <c r="M80" s="21"/>
      <c r="N80" s="21"/>
      <c r="O80" s="24"/>
      <c r="P80" s="17"/>
      <c r="Q80" s="15"/>
    </row>
    <row r="81" spans="1:17" ht="15">
      <c r="A81" s="3"/>
      <c r="B81" s="43"/>
      <c r="C81" s="43"/>
      <c r="D81" s="43" t="s">
        <v>102</v>
      </c>
      <c r="E81" s="43"/>
      <c r="F81" s="43"/>
      <c r="G81" s="90">
        <f>(C46*E46*I10)/2000</f>
        <v>146.77419354838707</v>
      </c>
      <c r="H81" s="43" t="s">
        <v>101</v>
      </c>
      <c r="I81" s="91">
        <f>G81*H19</f>
        <v>4403.225806451612</v>
      </c>
      <c r="J81" s="93"/>
      <c r="K81" s="92"/>
      <c r="L81" s="28"/>
      <c r="M81" s="21"/>
      <c r="N81" s="21"/>
      <c r="O81" s="24"/>
      <c r="P81" s="17"/>
      <c r="Q81" s="15"/>
    </row>
    <row r="82" spans="1:17" ht="15">
      <c r="A82" s="3"/>
      <c r="B82" s="43"/>
      <c r="C82" s="43"/>
      <c r="D82" s="43" t="s">
        <v>103</v>
      </c>
      <c r="E82" s="43"/>
      <c r="F82" s="43"/>
      <c r="G82" s="90">
        <f>(C47*E47*I10)/2000</f>
        <v>73.38709677419354</v>
      </c>
      <c r="H82" s="43" t="s">
        <v>101</v>
      </c>
      <c r="I82" s="91">
        <f>G82*H20</f>
        <v>7338.709677419354</v>
      </c>
      <c r="J82" s="94"/>
      <c r="K82" s="95"/>
      <c r="L82" s="28"/>
      <c r="M82" s="21"/>
      <c r="N82" s="21"/>
      <c r="O82" s="24"/>
      <c r="P82" s="17"/>
      <c r="Q82" s="15"/>
    </row>
    <row r="83" spans="1:17" ht="15">
      <c r="A83" s="3"/>
      <c r="B83" s="43"/>
      <c r="C83" s="43"/>
      <c r="D83" s="43" t="s">
        <v>104</v>
      </c>
      <c r="E83" s="43"/>
      <c r="F83" s="43"/>
      <c r="G83" s="90">
        <f>(C48*E48*I10)/2000</f>
        <v>5.241935483870967</v>
      </c>
      <c r="H83" s="43" t="s">
        <v>101</v>
      </c>
      <c r="I83" s="91">
        <f>G83*H21</f>
        <v>2620.9677419354834</v>
      </c>
      <c r="J83" s="96"/>
      <c r="K83" s="75"/>
      <c r="L83" s="28"/>
      <c r="M83" s="21"/>
      <c r="N83" s="21"/>
      <c r="O83" s="24"/>
      <c r="P83" s="17"/>
      <c r="Q83" s="15"/>
    </row>
    <row r="84" spans="1:17" ht="15">
      <c r="A84" s="3"/>
      <c r="B84" s="75" t="s">
        <v>105</v>
      </c>
      <c r="C84" s="43"/>
      <c r="D84" s="43"/>
      <c r="E84" s="75"/>
      <c r="F84" s="75"/>
      <c r="G84" s="75"/>
      <c r="H84" s="75"/>
      <c r="I84" s="97"/>
      <c r="J84" s="75"/>
      <c r="K84" s="98">
        <f>I79+I80+I81+I82+I83</f>
        <v>29826.612903225803</v>
      </c>
      <c r="L84" s="28"/>
      <c r="M84" s="21"/>
      <c r="N84" s="21"/>
      <c r="O84" s="24"/>
      <c r="P84" s="17"/>
      <c r="Q84" s="15"/>
    </row>
    <row r="85" spans="1:17" ht="6" customHeight="1">
      <c r="A85" s="3"/>
      <c r="B85" s="43"/>
      <c r="C85" s="92"/>
      <c r="D85" s="43"/>
      <c r="E85" s="75"/>
      <c r="F85" s="75"/>
      <c r="G85" s="75"/>
      <c r="H85" s="97"/>
      <c r="I85" s="99"/>
      <c r="J85" s="75"/>
      <c r="K85" s="100"/>
      <c r="L85" s="28"/>
      <c r="M85" s="21"/>
      <c r="N85" s="21"/>
      <c r="O85" s="24"/>
      <c r="P85" s="17"/>
      <c r="Q85" s="15"/>
    </row>
    <row r="86" spans="1:17" ht="15">
      <c r="A86" s="3"/>
      <c r="B86" s="43"/>
      <c r="C86" s="75" t="s">
        <v>106</v>
      </c>
      <c r="D86" s="43"/>
      <c r="E86" s="75"/>
      <c r="F86" s="75"/>
      <c r="G86" s="75"/>
      <c r="H86" s="97"/>
      <c r="I86" s="99"/>
      <c r="J86" s="75"/>
      <c r="K86" s="98">
        <f>F70*I51</f>
        <v>3024.5249668581523</v>
      </c>
      <c r="L86" s="28"/>
      <c r="M86" s="21"/>
      <c r="N86" s="21"/>
      <c r="O86" s="24"/>
      <c r="P86" s="17"/>
      <c r="Q86" s="15"/>
    </row>
    <row r="87" spans="1:17" ht="15">
      <c r="A87" s="3"/>
      <c r="B87" s="43"/>
      <c r="C87" s="75" t="s">
        <v>107</v>
      </c>
      <c r="D87" s="43"/>
      <c r="E87" s="75"/>
      <c r="F87" s="75"/>
      <c r="G87" s="75"/>
      <c r="H87" s="97"/>
      <c r="I87" s="99"/>
      <c r="J87" s="75"/>
      <c r="K87" s="98">
        <f>F70*I52</f>
        <v>5241.935483870967</v>
      </c>
      <c r="L87" s="28"/>
      <c r="M87" s="21"/>
      <c r="N87" s="21"/>
      <c r="O87" s="24"/>
      <c r="P87" s="17"/>
      <c r="Q87" s="15"/>
    </row>
    <row r="88" spans="1:17" ht="15">
      <c r="A88" s="3"/>
      <c r="B88" s="43"/>
      <c r="C88" s="75" t="s">
        <v>108</v>
      </c>
      <c r="D88" s="43"/>
      <c r="E88" s="75"/>
      <c r="F88" s="75"/>
      <c r="G88" s="75"/>
      <c r="H88" s="97"/>
      <c r="I88" s="99"/>
      <c r="J88" s="75"/>
      <c r="K88" s="98">
        <f>F70*C54</f>
        <v>1250</v>
      </c>
      <c r="L88" s="28"/>
      <c r="M88" s="21"/>
      <c r="N88" s="21"/>
      <c r="O88" s="24"/>
      <c r="P88" s="17"/>
      <c r="Q88" s="15"/>
    </row>
    <row r="89" spans="1:17" ht="15">
      <c r="A89" s="3"/>
      <c r="B89" s="43"/>
      <c r="C89" s="75" t="s">
        <v>109</v>
      </c>
      <c r="D89" s="43"/>
      <c r="E89" s="75"/>
      <c r="F89" s="75"/>
      <c r="G89" s="75"/>
      <c r="H89" s="75"/>
      <c r="I89" s="101"/>
      <c r="J89" s="75"/>
      <c r="K89" s="102">
        <f>F70*C55</f>
        <v>3600</v>
      </c>
      <c r="L89" s="28"/>
      <c r="M89" s="21"/>
      <c r="N89" s="21"/>
      <c r="O89" s="24"/>
      <c r="P89" s="17"/>
      <c r="Q89" s="15"/>
    </row>
    <row r="90" spans="1:17" ht="15">
      <c r="A90" s="3"/>
      <c r="B90" s="43"/>
      <c r="C90" s="75" t="s">
        <v>110</v>
      </c>
      <c r="D90" s="43"/>
      <c r="E90" s="75"/>
      <c r="F90" s="75"/>
      <c r="G90" s="75"/>
      <c r="H90" s="75"/>
      <c r="I90" s="75"/>
      <c r="J90" s="75"/>
      <c r="K90" s="102">
        <f>F70*I56</f>
        <v>1500</v>
      </c>
      <c r="L90" s="28"/>
      <c r="M90" s="21"/>
      <c r="N90" s="21"/>
      <c r="O90" s="24"/>
      <c r="P90" s="17"/>
      <c r="Q90" s="15"/>
    </row>
    <row r="91" spans="1:17" ht="15">
      <c r="A91" s="3"/>
      <c r="B91" s="43"/>
      <c r="C91" s="75" t="s">
        <v>111</v>
      </c>
      <c r="D91" s="43"/>
      <c r="E91" s="75"/>
      <c r="F91" s="75"/>
      <c r="G91" s="75"/>
      <c r="H91" s="103"/>
      <c r="I91" s="104"/>
      <c r="J91" s="75"/>
      <c r="K91" s="102">
        <f>G55*F70</f>
        <v>2145</v>
      </c>
      <c r="L91" s="28"/>
      <c r="M91" s="21"/>
      <c r="N91" s="21"/>
      <c r="O91" s="24"/>
      <c r="P91" s="17"/>
      <c r="Q91" s="15"/>
    </row>
    <row r="92" spans="1:17" ht="15">
      <c r="A92" s="3"/>
      <c r="B92" s="43"/>
      <c r="C92" s="75" t="s">
        <v>112</v>
      </c>
      <c r="D92" s="43"/>
      <c r="E92" s="75"/>
      <c r="F92" s="75"/>
      <c r="G92" s="75"/>
      <c r="H92" s="105"/>
      <c r="I92" s="106"/>
      <c r="J92" s="75"/>
      <c r="K92" s="102">
        <f>F70*G54</f>
        <v>0</v>
      </c>
      <c r="L92" s="28"/>
      <c r="M92" s="21"/>
      <c r="N92" s="21"/>
      <c r="O92" s="24"/>
      <c r="P92" s="17"/>
      <c r="Q92" s="15"/>
    </row>
    <row r="93" spans="1:17" ht="15">
      <c r="A93" s="136"/>
      <c r="B93" s="75" t="s">
        <v>113</v>
      </c>
      <c r="C93" s="75"/>
      <c r="D93" s="75"/>
      <c r="E93" s="75"/>
      <c r="F93" s="75"/>
      <c r="G93" s="137"/>
      <c r="H93" s="75"/>
      <c r="I93" s="47"/>
      <c r="J93" s="75"/>
      <c r="K93" s="102">
        <f>SUM(K77:K92)</f>
        <v>134338.07335395494</v>
      </c>
      <c r="L93" s="28"/>
      <c r="M93" s="21"/>
      <c r="N93" s="21"/>
      <c r="O93" s="24"/>
      <c r="P93" s="17"/>
      <c r="Q93" s="15"/>
    </row>
    <row r="94" spans="1:17" ht="18">
      <c r="A94" s="78"/>
      <c r="B94" s="124" t="s">
        <v>114</v>
      </c>
      <c r="C94" s="124"/>
      <c r="D94" s="125"/>
      <c r="E94" s="125"/>
      <c r="F94" s="126"/>
      <c r="G94" s="127"/>
      <c r="H94" s="125"/>
      <c r="I94" s="125"/>
      <c r="J94" s="125"/>
      <c r="K94" s="123">
        <f>K73-K93</f>
        <v>3692.67664604506</v>
      </c>
      <c r="L94" s="28"/>
      <c r="M94" s="21"/>
      <c r="N94" s="21"/>
      <c r="O94" s="24"/>
      <c r="P94" s="17"/>
      <c r="Q94" s="15"/>
    </row>
    <row r="95" spans="1:18" ht="15">
      <c r="A95" s="21"/>
      <c r="B95" s="128" t="s">
        <v>123</v>
      </c>
      <c r="C95" s="31"/>
      <c r="D95" s="32"/>
      <c r="E95" s="32"/>
      <c r="F95" s="32"/>
      <c r="G95" s="32"/>
      <c r="H95" s="32"/>
      <c r="I95" s="57"/>
      <c r="J95" s="57"/>
      <c r="K95" s="57"/>
      <c r="L95" s="57"/>
      <c r="M95" s="28"/>
      <c r="N95" s="21"/>
      <c r="O95" s="21"/>
      <c r="P95" s="24"/>
      <c r="Q95" s="16"/>
      <c r="R95" s="15"/>
    </row>
    <row r="96" spans="1:18" ht="9.75" customHeight="1">
      <c r="A96" s="21"/>
      <c r="B96" s="129" t="s">
        <v>124</v>
      </c>
      <c r="J96" s="53"/>
      <c r="K96" s="53"/>
      <c r="L96" s="53"/>
      <c r="M96" s="28"/>
      <c r="N96" s="21"/>
      <c r="O96" s="21"/>
      <c r="P96" s="24"/>
      <c r="Q96" s="16"/>
      <c r="R96" s="15"/>
    </row>
    <row r="97" spans="1:18" ht="6" customHeight="1">
      <c r="A97" s="21"/>
      <c r="B97" s="53"/>
      <c r="C97" s="81"/>
      <c r="D97" s="53"/>
      <c r="E97" s="57"/>
      <c r="F97" s="57"/>
      <c r="G97" s="57"/>
      <c r="H97" s="57"/>
      <c r="I97" s="57"/>
      <c r="J97" s="53"/>
      <c r="K97" s="53"/>
      <c r="L97" s="53"/>
      <c r="M97" s="28"/>
      <c r="N97" s="21"/>
      <c r="O97" s="21"/>
      <c r="P97" s="24"/>
      <c r="Q97" s="16"/>
      <c r="R97" s="15"/>
    </row>
    <row r="98" spans="1:18" ht="18">
      <c r="A98" s="21"/>
      <c r="B98" s="147" t="s">
        <v>125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7"/>
      <c r="M98" s="17"/>
      <c r="N98" s="17"/>
      <c r="O98" s="17"/>
      <c r="P98" s="24"/>
      <c r="Q98" s="16"/>
      <c r="R98" s="15"/>
    </row>
    <row r="99" spans="1:14" ht="15">
      <c r="A99" s="21"/>
      <c r="B99" s="57"/>
      <c r="C99" s="57"/>
      <c r="D99" s="140"/>
      <c r="E99" s="57"/>
      <c r="F99" s="19"/>
      <c r="G99" s="57"/>
      <c r="H99" s="57"/>
      <c r="I99" s="141"/>
      <c r="J99" s="19"/>
      <c r="K99" s="57"/>
      <c r="L99" s="19"/>
      <c r="M99" s="19"/>
      <c r="N99" s="19"/>
    </row>
    <row r="100" spans="1:16" ht="21.7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3"/>
      <c r="M100" s="143"/>
      <c r="N100" s="143"/>
      <c r="O100" s="143"/>
      <c r="P100" s="143"/>
    </row>
    <row r="101" spans="1:14" ht="12.75" customHeight="1">
      <c r="A101" s="21"/>
      <c r="B101" s="57"/>
      <c r="C101" s="57"/>
      <c r="D101" s="140"/>
      <c r="E101" s="141"/>
      <c r="F101" s="19"/>
      <c r="G101" s="57"/>
      <c r="H101" s="57"/>
      <c r="I101" s="141"/>
      <c r="J101" s="19"/>
      <c r="K101" s="57"/>
      <c r="L101" s="19"/>
      <c r="M101" s="19"/>
      <c r="N101" s="19"/>
    </row>
    <row r="102" spans="1:14" ht="12.75" customHeight="1">
      <c r="A102" s="21"/>
      <c r="B102" s="57"/>
      <c r="C102" s="57"/>
      <c r="D102" s="140"/>
      <c r="E102" s="141"/>
      <c r="F102" s="19"/>
      <c r="G102" s="57"/>
      <c r="H102" s="57"/>
      <c r="I102" s="141"/>
      <c r="J102" s="19"/>
      <c r="K102" s="57"/>
      <c r="L102" s="19"/>
      <c r="M102" s="19"/>
      <c r="N102" s="19"/>
    </row>
    <row r="103" spans="1:14" ht="12.75" customHeight="1">
      <c r="A103" s="21"/>
      <c r="B103" s="57"/>
      <c r="C103" s="57"/>
      <c r="D103" s="140"/>
      <c r="E103" s="141"/>
      <c r="F103" s="19"/>
      <c r="G103" s="57"/>
      <c r="H103" s="57"/>
      <c r="I103" s="142"/>
      <c r="J103" s="19"/>
      <c r="K103" s="142"/>
      <c r="L103" s="19"/>
      <c r="M103" s="19"/>
      <c r="N103" s="19"/>
    </row>
    <row r="104" spans="1:14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</sheetData>
  <sheetProtection sheet="1" objects="1" scenarios="1" selectLockedCells="1"/>
  <mergeCells count="8">
    <mergeCell ref="A100:K100"/>
    <mergeCell ref="A6:K6"/>
    <mergeCell ref="A68:K68"/>
    <mergeCell ref="B98:K98"/>
    <mergeCell ref="C16:F16"/>
    <mergeCell ref="A24:J24"/>
    <mergeCell ref="A8:K8"/>
    <mergeCell ref="A35:K35"/>
  </mergeCells>
  <printOptions/>
  <pageMargins left="0.25" right="0" top="0" bottom="0" header="0.3" footer="0.3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Dakota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sfrick</dc:creator>
  <cp:keywords/>
  <dc:description/>
  <cp:lastModifiedBy>sfrick</cp:lastModifiedBy>
  <cp:lastPrinted>2011-02-25T18:14:31Z</cp:lastPrinted>
  <dcterms:created xsi:type="dcterms:W3CDTF">2011-02-24T22:14:17Z</dcterms:created>
  <dcterms:modified xsi:type="dcterms:W3CDTF">2019-09-27T13:17:10Z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{CFC7E35C-37B8-4D7A-A1B1-5D9EDAEC6F5D}</vt:lpwstr>
  </property>
</Properties>
</file>